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01"/>
  <workbookPr codeName="ThisWorkbook"/>
  <mc:AlternateContent xmlns:mc="http://schemas.openxmlformats.org/markup-compatibility/2006">
    <mc:Choice Requires="x15">
      <x15ac:absPath xmlns:x15ac="http://schemas.microsoft.com/office/spreadsheetml/2010/11/ac" url="C:\Users\leslie.sturmer.FWC\Documents\Wpdocs\"/>
    </mc:Choice>
  </mc:AlternateContent>
  <bookViews>
    <workbookView xWindow="0" yWindow="0" windowWidth="16800" windowHeight="6690" tabRatio="950"/>
  </bookViews>
  <sheets>
    <sheet name="Introduction" sheetId="2" r:id="rId1"/>
    <sheet name="Questionnaire " sheetId="62" r:id="rId2"/>
    <sheet name="Instructions" sheetId="36" r:id="rId3"/>
    <sheet name="Budget" sheetId="1" r:id="rId4"/>
    <sheet name="Cash Cost Sensitivities (1)" sheetId="63" r:id="rId5"/>
    <sheet name="Cash Cost Sensitivities (2)" sheetId="64" r:id="rId6"/>
    <sheet name="Total Cost Sensitivities (1)" sheetId="8" r:id="rId7"/>
    <sheet name="Total Cost Sensitivities (2)" sheetId="10" r:id="rId8"/>
    <sheet name="Size Distribution Proxy (9)" sheetId="61" state="hidden" r:id="rId9"/>
    <sheet name="Size Distribution Proxy (8)" sheetId="60" state="hidden" r:id="rId10"/>
    <sheet name="Size Distribution Proxy (7)" sheetId="59" state="hidden" r:id="rId11"/>
    <sheet name="Size Distribution Proxy (6)" sheetId="58" state="hidden" r:id="rId12"/>
    <sheet name="Size Distribution Proxy (5)" sheetId="57" state="hidden" r:id="rId13"/>
    <sheet name="Size Distribution Proxy (4)" sheetId="56" state="hidden" r:id="rId14"/>
    <sheet name="Size Distribution Proxy (3)" sheetId="55" state="hidden" r:id="rId15"/>
    <sheet name="Size Distribution Proxy (2)" sheetId="54" state="hidden" r:id="rId16"/>
    <sheet name="Size Distribution Proxy (1)" sheetId="53" state="hidden" r:id="rId17"/>
    <sheet name="Market Price Proxy (11)" sheetId="52" state="hidden" r:id="rId18"/>
    <sheet name="Market Price Proxy (10)" sheetId="51" state="hidden" r:id="rId19"/>
    <sheet name="Market Price Proxy (9)" sheetId="50" state="hidden" r:id="rId20"/>
    <sheet name="Market Price Proxy (8)" sheetId="49" state="hidden" r:id="rId21"/>
    <sheet name="Market Price Proxy (7)" sheetId="48" state="hidden" r:id="rId22"/>
    <sheet name="Market Price Proxy (6)" sheetId="47" state="hidden" r:id="rId23"/>
    <sheet name="Market Price Proxy (5)" sheetId="46" state="hidden" r:id="rId24"/>
    <sheet name="Market Price Proxy (4)" sheetId="45" state="hidden" r:id="rId25"/>
    <sheet name="Market Price Proxy (3)" sheetId="44" state="hidden" r:id="rId26"/>
    <sheet name="Market Price Proxy (2)" sheetId="42" state="hidden" r:id="rId27"/>
    <sheet name="Market Price Proxy (1)" sheetId="41" state="hidden" r:id="rId28"/>
    <sheet name="Sheet1" sheetId="65" state="hidden" r:id="rId29"/>
  </sheets>
  <definedNames>
    <definedName name="solver_eng" localSheetId="7" hidden="1">1</definedName>
    <definedName name="solver_lin" localSheetId="7" hidden="1">2</definedName>
    <definedName name="solver_neg" localSheetId="7" hidden="1">1</definedName>
    <definedName name="solver_num" localSheetId="7" hidden="1">0</definedName>
    <definedName name="solver_opt" localSheetId="7" hidden="1">'Total Cost Sensitivities (2)'!#REF!</definedName>
    <definedName name="solver_typ" localSheetId="7" hidden="1">1</definedName>
    <definedName name="solver_val" localSheetId="7" hidden="1">0</definedName>
    <definedName name="solver_ver" localSheetId="7" hidden="1">2</definedName>
  </definedNames>
  <calcPr calcId="171027"/>
</workbook>
</file>

<file path=xl/calcChain.xml><?xml version="1.0" encoding="utf-8"?>
<calcChain xmlns="http://schemas.openxmlformats.org/spreadsheetml/2006/main">
  <c r="E11" i="1" l="1"/>
  <c r="D87" i="1"/>
  <c r="A94" i="8"/>
  <c r="C9" i="63"/>
  <c r="L129" i="1"/>
  <c r="A10" i="8"/>
  <c r="B71" i="64"/>
  <c r="B72" i="64"/>
  <c r="B73" i="64"/>
  <c r="A71" i="64"/>
  <c r="A72" i="64"/>
  <c r="A73" i="64"/>
  <c r="A23" i="10"/>
  <c r="B23" i="10"/>
  <c r="C23" i="10"/>
  <c r="A24" i="10"/>
  <c r="B24" i="10"/>
  <c r="C24" i="10"/>
  <c r="A25" i="10"/>
  <c r="B25" i="10"/>
  <c r="C25" i="10"/>
  <c r="A26" i="10"/>
  <c r="B26" i="10"/>
  <c r="C26" i="10"/>
  <c r="A27" i="10"/>
  <c r="B27" i="10"/>
  <c r="C27" i="10"/>
  <c r="A28" i="10"/>
  <c r="B28" i="10"/>
  <c r="C28" i="10"/>
  <c r="A29" i="10"/>
  <c r="B29" i="10"/>
  <c r="C29" i="10"/>
  <c r="A30" i="10"/>
  <c r="B30" i="10"/>
  <c r="C30" i="10"/>
  <c r="A31" i="10"/>
  <c r="B31" i="10"/>
  <c r="C31" i="10"/>
  <c r="A92" i="8"/>
  <c r="A108" i="63"/>
  <c r="D27" i="1"/>
  <c r="D26" i="1"/>
  <c r="E26" i="58" s="1"/>
  <c r="B72" i="52"/>
  <c r="C72" i="52"/>
  <c r="D72" i="52"/>
  <c r="E72" i="52"/>
  <c r="F72" i="52"/>
  <c r="G72" i="52"/>
  <c r="H72" i="52"/>
  <c r="I72" i="52"/>
  <c r="B73" i="52"/>
  <c r="B69" i="1"/>
  <c r="C73" i="52"/>
  <c r="C69" i="1"/>
  <c r="E17" i="1"/>
  <c r="D69" i="1" s="1"/>
  <c r="E74" i="61" s="1"/>
  <c r="B74" i="52"/>
  <c r="B70" i="1"/>
  <c r="C74" i="52" s="1"/>
  <c r="C70" i="1"/>
  <c r="D74" i="48" s="1"/>
  <c r="E18" i="1"/>
  <c r="D70" i="1" s="1"/>
  <c r="B75" i="52"/>
  <c r="B71" i="1"/>
  <c r="C75" i="48" s="1"/>
  <c r="C71" i="1"/>
  <c r="D71" i="1"/>
  <c r="B76" i="52"/>
  <c r="B72" i="1"/>
  <c r="C76" i="52"/>
  <c r="C72" i="1"/>
  <c r="D76" i="48" s="1"/>
  <c r="E72" i="1"/>
  <c r="F76" i="52" s="1"/>
  <c r="G72" i="1"/>
  <c r="H76" i="58" s="1"/>
  <c r="B77" i="52"/>
  <c r="B73" i="1"/>
  <c r="C77" i="49" s="1"/>
  <c r="C73" i="1"/>
  <c r="E73" i="1" s="1"/>
  <c r="F78" i="61" s="1"/>
  <c r="D77" i="52"/>
  <c r="H73" i="1"/>
  <c r="I77" i="42" s="1"/>
  <c r="B78" i="52"/>
  <c r="B74" i="1"/>
  <c r="C78" i="52"/>
  <c r="C74" i="1"/>
  <c r="D74" i="1" s="1"/>
  <c r="E74" i="1"/>
  <c r="F78" i="48" s="1"/>
  <c r="H74" i="1"/>
  <c r="I78" i="59" s="1"/>
  <c r="B79" i="52"/>
  <c r="B75" i="1"/>
  <c r="C79" i="48" s="1"/>
  <c r="C75" i="1"/>
  <c r="D79" i="52"/>
  <c r="B80" i="52"/>
  <c r="C80" i="52"/>
  <c r="D80" i="52"/>
  <c r="B72" i="51"/>
  <c r="C72" i="51"/>
  <c r="D72" i="51"/>
  <c r="E72" i="51"/>
  <c r="F72" i="51"/>
  <c r="G72" i="51"/>
  <c r="H72" i="51"/>
  <c r="I72" i="51"/>
  <c r="B73" i="51"/>
  <c r="C73" i="51"/>
  <c r="B74" i="51"/>
  <c r="C74" i="51"/>
  <c r="B75" i="51"/>
  <c r="C75" i="51"/>
  <c r="D75" i="51"/>
  <c r="B76" i="51"/>
  <c r="C76" i="51"/>
  <c r="D76" i="51"/>
  <c r="B77" i="51"/>
  <c r="C77" i="51"/>
  <c r="B78" i="51"/>
  <c r="D78" i="51"/>
  <c r="F78" i="51"/>
  <c r="B79" i="51"/>
  <c r="C79" i="51"/>
  <c r="D79" i="51"/>
  <c r="B80" i="51"/>
  <c r="C80" i="51"/>
  <c r="D80" i="51"/>
  <c r="B72" i="50"/>
  <c r="C72" i="50"/>
  <c r="D72" i="50"/>
  <c r="E72" i="50"/>
  <c r="F72" i="50"/>
  <c r="G72" i="50"/>
  <c r="H72" i="50"/>
  <c r="I72" i="50"/>
  <c r="B73" i="50"/>
  <c r="C73" i="50"/>
  <c r="D73" i="50"/>
  <c r="B74" i="50"/>
  <c r="C74" i="50"/>
  <c r="B75" i="50"/>
  <c r="B76" i="50"/>
  <c r="C76" i="50"/>
  <c r="H76" i="50"/>
  <c r="B77" i="50"/>
  <c r="C77" i="50"/>
  <c r="D77" i="50"/>
  <c r="B78" i="50"/>
  <c r="D78" i="50"/>
  <c r="F78" i="50"/>
  <c r="B79" i="50"/>
  <c r="D79" i="50"/>
  <c r="B80" i="50"/>
  <c r="C80" i="50"/>
  <c r="D80" i="50"/>
  <c r="B72" i="49"/>
  <c r="C72" i="49"/>
  <c r="D72" i="49"/>
  <c r="E72" i="49"/>
  <c r="F72" i="49"/>
  <c r="G72" i="49"/>
  <c r="H72" i="49"/>
  <c r="I72" i="49"/>
  <c r="B73" i="49"/>
  <c r="C73" i="49"/>
  <c r="B74" i="49"/>
  <c r="C74" i="49"/>
  <c r="D74" i="49"/>
  <c r="B75" i="49"/>
  <c r="D75" i="49"/>
  <c r="E75" i="49"/>
  <c r="B76" i="49"/>
  <c r="C76" i="49"/>
  <c r="D76" i="49"/>
  <c r="B77" i="49"/>
  <c r="I77" i="49"/>
  <c r="B78" i="49"/>
  <c r="C78" i="49"/>
  <c r="D78" i="49"/>
  <c r="B79" i="49"/>
  <c r="D79" i="49"/>
  <c r="B80" i="49"/>
  <c r="C80" i="49"/>
  <c r="D80" i="49"/>
  <c r="B72" i="48"/>
  <c r="C72" i="48"/>
  <c r="D72" i="48"/>
  <c r="E72" i="48"/>
  <c r="F72" i="48"/>
  <c r="G72" i="48"/>
  <c r="H72" i="48"/>
  <c r="I72" i="48"/>
  <c r="B73" i="48"/>
  <c r="C73" i="48"/>
  <c r="D73" i="48"/>
  <c r="B74" i="48"/>
  <c r="C74" i="48"/>
  <c r="B75" i="48"/>
  <c r="E75" i="48"/>
  <c r="B76" i="48"/>
  <c r="C76" i="48"/>
  <c r="B77" i="48"/>
  <c r="C77" i="48"/>
  <c r="D77" i="48"/>
  <c r="B78" i="48"/>
  <c r="D78" i="48"/>
  <c r="B79" i="48"/>
  <c r="B80" i="48"/>
  <c r="C80" i="48"/>
  <c r="D80" i="48"/>
  <c r="B72" i="47"/>
  <c r="C72" i="47"/>
  <c r="D72" i="47"/>
  <c r="E72" i="47"/>
  <c r="F72" i="47"/>
  <c r="G72" i="47"/>
  <c r="H72" i="47"/>
  <c r="I72" i="47"/>
  <c r="B73" i="47"/>
  <c r="C73" i="47"/>
  <c r="D73" i="47"/>
  <c r="B74" i="47"/>
  <c r="C74" i="47"/>
  <c r="D74" i="47"/>
  <c r="B75" i="47"/>
  <c r="D75" i="47"/>
  <c r="B76" i="47"/>
  <c r="C76" i="47"/>
  <c r="B77" i="47"/>
  <c r="B78" i="47"/>
  <c r="D78" i="47"/>
  <c r="I78" i="47"/>
  <c r="B79" i="47"/>
  <c r="D79" i="47"/>
  <c r="B80" i="47"/>
  <c r="C80" i="47"/>
  <c r="D80" i="47"/>
  <c r="B72" i="46"/>
  <c r="C72" i="46"/>
  <c r="D72" i="46"/>
  <c r="E72" i="46"/>
  <c r="F72" i="46"/>
  <c r="G72" i="46"/>
  <c r="H72" i="46"/>
  <c r="I72" i="46"/>
  <c r="B73" i="46"/>
  <c r="C73" i="46"/>
  <c r="B74" i="46"/>
  <c r="C74" i="46"/>
  <c r="B75" i="46"/>
  <c r="C75" i="46"/>
  <c r="D75" i="46"/>
  <c r="E75" i="46"/>
  <c r="B76" i="46"/>
  <c r="C76" i="46"/>
  <c r="D76" i="46"/>
  <c r="B77" i="46"/>
  <c r="I77" i="46"/>
  <c r="B78" i="46"/>
  <c r="D78" i="46"/>
  <c r="F78" i="46"/>
  <c r="B79" i="46"/>
  <c r="D79" i="46"/>
  <c r="B80" i="46"/>
  <c r="C80" i="46"/>
  <c r="D80" i="46"/>
  <c r="B72" i="45"/>
  <c r="C72" i="45"/>
  <c r="D72" i="45"/>
  <c r="E72" i="45"/>
  <c r="F72" i="45"/>
  <c r="G72" i="45"/>
  <c r="H72" i="45"/>
  <c r="I72" i="45"/>
  <c r="B73" i="45"/>
  <c r="C73" i="45"/>
  <c r="D73" i="45"/>
  <c r="B74" i="45"/>
  <c r="C74" i="45"/>
  <c r="B75" i="45"/>
  <c r="D75" i="45"/>
  <c r="E75" i="45"/>
  <c r="B76" i="45"/>
  <c r="C76" i="45"/>
  <c r="D76" i="45"/>
  <c r="B77" i="45"/>
  <c r="C77" i="45"/>
  <c r="D77" i="45"/>
  <c r="B78" i="45"/>
  <c r="D78" i="45"/>
  <c r="I78" i="45"/>
  <c r="B79" i="45"/>
  <c r="C79" i="45"/>
  <c r="B80" i="45"/>
  <c r="C80" i="45"/>
  <c r="D80" i="45"/>
  <c r="B72" i="44"/>
  <c r="C72" i="44"/>
  <c r="D72" i="44"/>
  <c r="E72" i="44"/>
  <c r="F72" i="44"/>
  <c r="G72" i="44"/>
  <c r="H72" i="44"/>
  <c r="I72" i="44"/>
  <c r="B73" i="44"/>
  <c r="C73" i="44"/>
  <c r="D73" i="44"/>
  <c r="B74" i="44"/>
  <c r="C74" i="44"/>
  <c r="D74" i="44"/>
  <c r="B75" i="44"/>
  <c r="D75" i="44"/>
  <c r="E75" i="44"/>
  <c r="B76" i="44"/>
  <c r="C76" i="44"/>
  <c r="B77" i="44"/>
  <c r="C77" i="44"/>
  <c r="D77" i="44"/>
  <c r="I77" i="44"/>
  <c r="B78" i="44"/>
  <c r="C78" i="44"/>
  <c r="D78" i="44"/>
  <c r="I78" i="44"/>
  <c r="B79" i="44"/>
  <c r="D79" i="44"/>
  <c r="B80" i="44"/>
  <c r="C80" i="44"/>
  <c r="D80" i="44"/>
  <c r="B72" i="42"/>
  <c r="C72" i="42"/>
  <c r="D72" i="42"/>
  <c r="E72" i="42"/>
  <c r="F72" i="42"/>
  <c r="G72" i="42"/>
  <c r="H72" i="42"/>
  <c r="I72" i="42"/>
  <c r="B73" i="42"/>
  <c r="C73" i="42"/>
  <c r="D73" i="42"/>
  <c r="B74" i="42"/>
  <c r="C74" i="42"/>
  <c r="B75" i="42"/>
  <c r="E75" i="42"/>
  <c r="B76" i="42"/>
  <c r="C76" i="42"/>
  <c r="D76" i="42"/>
  <c r="B77" i="42"/>
  <c r="D77" i="42"/>
  <c r="B78" i="42"/>
  <c r="D78" i="42"/>
  <c r="B79" i="42"/>
  <c r="C79" i="42"/>
  <c r="D79" i="42"/>
  <c r="B80" i="42"/>
  <c r="C80" i="42"/>
  <c r="D80" i="42"/>
  <c r="B72" i="41"/>
  <c r="C72" i="41"/>
  <c r="D72" i="41"/>
  <c r="E72" i="41"/>
  <c r="F72" i="41"/>
  <c r="G72" i="41"/>
  <c r="H72" i="41"/>
  <c r="I72" i="41"/>
  <c r="B73" i="41"/>
  <c r="C73" i="41"/>
  <c r="D73" i="41"/>
  <c r="B74" i="41"/>
  <c r="C74" i="41"/>
  <c r="D74" i="41"/>
  <c r="B75" i="41"/>
  <c r="C75" i="41"/>
  <c r="D75" i="41"/>
  <c r="B76" i="41"/>
  <c r="C76" i="41"/>
  <c r="D76" i="41"/>
  <c r="B77" i="41"/>
  <c r="D77" i="41"/>
  <c r="I77" i="41"/>
  <c r="B78" i="41"/>
  <c r="D78" i="41"/>
  <c r="I78" i="41"/>
  <c r="B79" i="41"/>
  <c r="C79" i="41"/>
  <c r="D79" i="41"/>
  <c r="B80" i="41"/>
  <c r="C80" i="41"/>
  <c r="D80" i="41"/>
  <c r="B72" i="57"/>
  <c r="C72" i="57"/>
  <c r="D72" i="57"/>
  <c r="E72" i="57"/>
  <c r="F72" i="57"/>
  <c r="G72" i="57"/>
  <c r="H72" i="57"/>
  <c r="I72" i="57"/>
  <c r="B73" i="57"/>
  <c r="C73" i="57"/>
  <c r="B74" i="57"/>
  <c r="C74" i="57"/>
  <c r="D74" i="57"/>
  <c r="B75" i="57"/>
  <c r="D75" i="57"/>
  <c r="E75" i="57"/>
  <c r="B76" i="57"/>
  <c r="C76" i="57"/>
  <c r="H76" i="57"/>
  <c r="B77" i="57"/>
  <c r="C77" i="57"/>
  <c r="I77" i="57"/>
  <c r="B78" i="57"/>
  <c r="C78" i="57"/>
  <c r="D78" i="57"/>
  <c r="I78" i="57"/>
  <c r="B79" i="57"/>
  <c r="D79" i="57"/>
  <c r="B80" i="57"/>
  <c r="C80" i="57"/>
  <c r="D80" i="57"/>
  <c r="B72" i="56"/>
  <c r="C72" i="56"/>
  <c r="D72" i="56"/>
  <c r="E72" i="56"/>
  <c r="F72" i="56"/>
  <c r="G72" i="56"/>
  <c r="H72" i="56"/>
  <c r="I72" i="56"/>
  <c r="B73" i="56"/>
  <c r="C73" i="56"/>
  <c r="D73" i="56"/>
  <c r="B74" i="56"/>
  <c r="C74" i="56"/>
  <c r="D74" i="56"/>
  <c r="B75" i="56"/>
  <c r="E75" i="56"/>
  <c r="B76" i="56"/>
  <c r="C76" i="56"/>
  <c r="D76" i="56"/>
  <c r="B77" i="56"/>
  <c r="C77" i="56"/>
  <c r="B78" i="56"/>
  <c r="C78" i="56"/>
  <c r="D78" i="56"/>
  <c r="F78" i="56"/>
  <c r="B79" i="56"/>
  <c r="B80" i="56"/>
  <c r="C80" i="56"/>
  <c r="D80" i="56"/>
  <c r="B72" i="55"/>
  <c r="C72" i="55"/>
  <c r="D72" i="55"/>
  <c r="E72" i="55"/>
  <c r="F72" i="55"/>
  <c r="G72" i="55"/>
  <c r="H72" i="55"/>
  <c r="I72" i="55"/>
  <c r="B73" i="55"/>
  <c r="C73" i="55"/>
  <c r="D73" i="55"/>
  <c r="B74" i="55"/>
  <c r="C74" i="55"/>
  <c r="D74" i="55"/>
  <c r="B75" i="55"/>
  <c r="C75" i="55"/>
  <c r="D75" i="55"/>
  <c r="B76" i="55"/>
  <c r="C76" i="55"/>
  <c r="B77" i="55"/>
  <c r="D77" i="55"/>
  <c r="I77" i="55"/>
  <c r="B78" i="55"/>
  <c r="D78" i="55"/>
  <c r="I78" i="55"/>
  <c r="B79" i="55"/>
  <c r="C79" i="55"/>
  <c r="D79" i="55"/>
  <c r="B80" i="55"/>
  <c r="C80" i="55"/>
  <c r="D80" i="55"/>
  <c r="B72" i="54"/>
  <c r="C72" i="54"/>
  <c r="D72" i="54"/>
  <c r="E72" i="54"/>
  <c r="F72" i="54"/>
  <c r="G72" i="54"/>
  <c r="H72" i="54"/>
  <c r="I72" i="54"/>
  <c r="B73" i="54"/>
  <c r="C73" i="54"/>
  <c r="B74" i="54"/>
  <c r="C74" i="54"/>
  <c r="B75" i="54"/>
  <c r="D75" i="54"/>
  <c r="E75" i="54"/>
  <c r="B76" i="54"/>
  <c r="C76" i="54"/>
  <c r="B77" i="54"/>
  <c r="D77" i="54"/>
  <c r="B78" i="54"/>
  <c r="C78" i="54"/>
  <c r="D78" i="54"/>
  <c r="F78" i="54"/>
  <c r="B79" i="54"/>
  <c r="D79" i="54"/>
  <c r="B80" i="54"/>
  <c r="C80" i="54"/>
  <c r="D80" i="54"/>
  <c r="B72" i="53"/>
  <c r="C72" i="53"/>
  <c r="D72" i="53"/>
  <c r="E72" i="53"/>
  <c r="F72" i="53"/>
  <c r="G72" i="53"/>
  <c r="H72" i="53"/>
  <c r="I72" i="53"/>
  <c r="B73" i="53"/>
  <c r="C73" i="53"/>
  <c r="B74" i="53"/>
  <c r="C74" i="53"/>
  <c r="B75" i="53"/>
  <c r="C75" i="53"/>
  <c r="D75" i="53"/>
  <c r="E75" i="53"/>
  <c r="B76" i="53"/>
  <c r="C76" i="53"/>
  <c r="B77" i="53"/>
  <c r="C77" i="53"/>
  <c r="B78" i="53"/>
  <c r="C78" i="53"/>
  <c r="D78" i="53"/>
  <c r="F78" i="53"/>
  <c r="B79" i="53"/>
  <c r="D79" i="53"/>
  <c r="B80" i="53"/>
  <c r="C80" i="53"/>
  <c r="D80" i="53"/>
  <c r="I27" i="1"/>
  <c r="J27" i="45" s="1"/>
  <c r="J27" i="1"/>
  <c r="K27" i="50" s="1"/>
  <c r="J26" i="1"/>
  <c r="K26" i="53" s="1"/>
  <c r="H27" i="1"/>
  <c r="H26" i="1"/>
  <c r="I26" i="49" s="1"/>
  <c r="G27" i="1"/>
  <c r="H27" i="59" s="1"/>
  <c r="G26" i="1"/>
  <c r="F27" i="1"/>
  <c r="G27" i="50" s="1"/>
  <c r="F26" i="1"/>
  <c r="G26" i="50" s="1"/>
  <c r="J25" i="1"/>
  <c r="K25" i="42" s="1"/>
  <c r="I26" i="1"/>
  <c r="J26" i="53" s="1"/>
  <c r="I25" i="1"/>
  <c r="H25" i="1"/>
  <c r="I25" i="54" s="1"/>
  <c r="G25" i="1"/>
  <c r="H25" i="53" s="1"/>
  <c r="F25" i="1"/>
  <c r="D22" i="53"/>
  <c r="D22" i="1"/>
  <c r="J22" i="1" s="1"/>
  <c r="E22" i="1"/>
  <c r="F22" i="49" s="1"/>
  <c r="H22" i="1"/>
  <c r="I22" i="54" s="1"/>
  <c r="D23" i="53"/>
  <c r="D23" i="1"/>
  <c r="E23" i="53"/>
  <c r="E23" i="1"/>
  <c r="F23" i="57" s="1"/>
  <c r="F23" i="1"/>
  <c r="G23" i="60" s="1"/>
  <c r="G23" i="1"/>
  <c r="H23" i="48" s="1"/>
  <c r="H23" i="1"/>
  <c r="I23" i="53" s="1"/>
  <c r="J23" i="1"/>
  <c r="D24" i="53"/>
  <c r="E24" i="53"/>
  <c r="F24" i="53"/>
  <c r="F24" i="1"/>
  <c r="G24" i="1"/>
  <c r="H24" i="53" s="1"/>
  <c r="H24" i="1"/>
  <c r="I24" i="1"/>
  <c r="J24" i="1"/>
  <c r="D25" i="53"/>
  <c r="D25" i="1"/>
  <c r="E25" i="54" s="1"/>
  <c r="F25" i="53"/>
  <c r="D26" i="53"/>
  <c r="F26" i="53"/>
  <c r="D27" i="53"/>
  <c r="E27" i="53"/>
  <c r="F27" i="53"/>
  <c r="H27" i="53"/>
  <c r="D28" i="53"/>
  <c r="E28" i="53"/>
  <c r="F28" i="53"/>
  <c r="F28" i="1"/>
  <c r="G28" i="54" s="1"/>
  <c r="G28" i="1"/>
  <c r="H28" i="1"/>
  <c r="I28" i="1"/>
  <c r="J28" i="1"/>
  <c r="K28" i="53" s="1"/>
  <c r="D22" i="54"/>
  <c r="E22" i="54"/>
  <c r="D23" i="54"/>
  <c r="F23" i="54"/>
  <c r="I23" i="54"/>
  <c r="D24" i="54"/>
  <c r="E24" i="54"/>
  <c r="F24" i="54"/>
  <c r="H24" i="54"/>
  <c r="D25" i="54"/>
  <c r="F25" i="54"/>
  <c r="J25" i="54"/>
  <c r="D26" i="54"/>
  <c r="E26" i="54"/>
  <c r="F26" i="54"/>
  <c r="D27" i="54"/>
  <c r="E27" i="54"/>
  <c r="F27" i="54"/>
  <c r="H27" i="54"/>
  <c r="K27" i="54"/>
  <c r="D28" i="54"/>
  <c r="E28" i="54"/>
  <c r="F28" i="54"/>
  <c r="J28" i="54"/>
  <c r="D22" i="55"/>
  <c r="F22" i="55"/>
  <c r="D23" i="55"/>
  <c r="E23" i="55"/>
  <c r="H23" i="55"/>
  <c r="K23" i="55"/>
  <c r="D24" i="55"/>
  <c r="E24" i="55"/>
  <c r="F24" i="55"/>
  <c r="H24" i="55"/>
  <c r="J24" i="55"/>
  <c r="K24" i="55"/>
  <c r="D25" i="55"/>
  <c r="F25" i="55"/>
  <c r="D26" i="55"/>
  <c r="F26" i="55"/>
  <c r="K26" i="55"/>
  <c r="D27" i="55"/>
  <c r="E27" i="55"/>
  <c r="F27" i="55"/>
  <c r="H27" i="55"/>
  <c r="D28" i="55"/>
  <c r="E28" i="55"/>
  <c r="F28" i="55"/>
  <c r="G28" i="55"/>
  <c r="K28" i="55"/>
  <c r="D22" i="56"/>
  <c r="E22" i="56"/>
  <c r="D23" i="56"/>
  <c r="E23" i="56"/>
  <c r="I23" i="56"/>
  <c r="D24" i="56"/>
  <c r="E24" i="56"/>
  <c r="F24" i="56"/>
  <c r="G24" i="56"/>
  <c r="H24" i="56"/>
  <c r="I24" i="56"/>
  <c r="K24" i="56"/>
  <c r="D25" i="56"/>
  <c r="F25" i="56"/>
  <c r="D26" i="56"/>
  <c r="F26" i="56"/>
  <c r="J26" i="56"/>
  <c r="D27" i="56"/>
  <c r="E27" i="56"/>
  <c r="F27" i="56"/>
  <c r="H27" i="56"/>
  <c r="D28" i="56"/>
  <c r="E28" i="56"/>
  <c r="F28" i="56"/>
  <c r="H28" i="56"/>
  <c r="D22" i="57"/>
  <c r="E22" i="57"/>
  <c r="D23" i="57"/>
  <c r="I23" i="57"/>
  <c r="D24" i="57"/>
  <c r="E24" i="57"/>
  <c r="F24" i="57"/>
  <c r="H24" i="57"/>
  <c r="I24" i="57"/>
  <c r="J24" i="57"/>
  <c r="D25" i="57"/>
  <c r="F25" i="57"/>
  <c r="D26" i="57"/>
  <c r="F26" i="57"/>
  <c r="D27" i="57"/>
  <c r="E27" i="57"/>
  <c r="F27" i="57"/>
  <c r="H27" i="57"/>
  <c r="D28" i="57"/>
  <c r="E28" i="57"/>
  <c r="F28" i="57"/>
  <c r="H28" i="57"/>
  <c r="I28" i="57"/>
  <c r="J28" i="57"/>
  <c r="D22" i="58"/>
  <c r="E22" i="58"/>
  <c r="F22" i="58"/>
  <c r="D23" i="58"/>
  <c r="E23" i="58"/>
  <c r="G23" i="58"/>
  <c r="I23" i="58"/>
  <c r="D24" i="58"/>
  <c r="E24" i="58"/>
  <c r="F24" i="58"/>
  <c r="H24" i="58"/>
  <c r="D25" i="58"/>
  <c r="F25" i="58"/>
  <c r="J25" i="58"/>
  <c r="D26" i="58"/>
  <c r="F26" i="58"/>
  <c r="D27" i="58"/>
  <c r="E27" i="58"/>
  <c r="F27" i="58"/>
  <c r="H27" i="58"/>
  <c r="K27" i="58"/>
  <c r="D28" i="58"/>
  <c r="E28" i="58"/>
  <c r="F28" i="58"/>
  <c r="H28" i="58"/>
  <c r="I28" i="58"/>
  <c r="D22" i="59"/>
  <c r="E22" i="59"/>
  <c r="F22" i="59"/>
  <c r="I22" i="59"/>
  <c r="D23" i="59"/>
  <c r="E23" i="59"/>
  <c r="H23" i="59"/>
  <c r="I23" i="59"/>
  <c r="D24" i="59"/>
  <c r="E24" i="59"/>
  <c r="F24" i="59"/>
  <c r="H24" i="59"/>
  <c r="I24" i="59"/>
  <c r="J24" i="59"/>
  <c r="D25" i="59"/>
  <c r="F25" i="59"/>
  <c r="D26" i="59"/>
  <c r="F26" i="59"/>
  <c r="D27" i="59"/>
  <c r="E27" i="59"/>
  <c r="F27" i="59"/>
  <c r="I27" i="59"/>
  <c r="D28" i="59"/>
  <c r="E28" i="59"/>
  <c r="F28" i="59"/>
  <c r="I28" i="59"/>
  <c r="J28" i="59"/>
  <c r="D22" i="60"/>
  <c r="E22" i="60"/>
  <c r="D23" i="60"/>
  <c r="H23" i="60"/>
  <c r="K23" i="60"/>
  <c r="D24" i="60"/>
  <c r="E24" i="60"/>
  <c r="F24" i="60"/>
  <c r="H24" i="60"/>
  <c r="I24" i="60"/>
  <c r="J24" i="60"/>
  <c r="D25" i="60"/>
  <c r="F25" i="60"/>
  <c r="D26" i="60"/>
  <c r="E26" i="60"/>
  <c r="F26" i="60"/>
  <c r="D27" i="60"/>
  <c r="E27" i="60"/>
  <c r="F27" i="60"/>
  <c r="H27" i="60"/>
  <c r="I27" i="60"/>
  <c r="K27" i="60"/>
  <c r="D28" i="60"/>
  <c r="E28" i="60"/>
  <c r="F28" i="60"/>
  <c r="H28" i="60"/>
  <c r="I28" i="60"/>
  <c r="D23" i="61"/>
  <c r="E23" i="61"/>
  <c r="F23" i="61"/>
  <c r="I23" i="61"/>
  <c r="D24" i="61"/>
  <c r="E24" i="61"/>
  <c r="H24" i="61"/>
  <c r="I24" i="61"/>
  <c r="D25" i="61"/>
  <c r="E25" i="61"/>
  <c r="F25" i="61"/>
  <c r="H25" i="61"/>
  <c r="I25" i="61"/>
  <c r="J25" i="61"/>
  <c r="D26" i="61"/>
  <c r="E26" i="61"/>
  <c r="F26" i="61"/>
  <c r="J26" i="61"/>
  <c r="D27" i="61"/>
  <c r="F27" i="61"/>
  <c r="D28" i="61"/>
  <c r="E28" i="61"/>
  <c r="F28" i="61"/>
  <c r="H28" i="61"/>
  <c r="K28" i="61"/>
  <c r="D29" i="61"/>
  <c r="E29" i="61"/>
  <c r="F29" i="61"/>
  <c r="J29" i="61"/>
  <c r="D22" i="41"/>
  <c r="F22" i="41"/>
  <c r="D23" i="41"/>
  <c r="F23" i="41"/>
  <c r="G23" i="41"/>
  <c r="D24" i="41"/>
  <c r="E24" i="41"/>
  <c r="F24" i="41"/>
  <c r="H24" i="41"/>
  <c r="D25" i="41"/>
  <c r="E25" i="41"/>
  <c r="F25" i="41"/>
  <c r="J25" i="41"/>
  <c r="D26" i="41"/>
  <c r="F26" i="41"/>
  <c r="D27" i="41"/>
  <c r="E27" i="41"/>
  <c r="F27" i="41"/>
  <c r="H27" i="41"/>
  <c r="I27" i="41"/>
  <c r="D28" i="41"/>
  <c r="E28" i="41"/>
  <c r="F28" i="41"/>
  <c r="K28" i="41"/>
  <c r="D22" i="42"/>
  <c r="F22" i="42"/>
  <c r="D23" i="42"/>
  <c r="E23" i="42"/>
  <c r="H23" i="42"/>
  <c r="D24" i="42"/>
  <c r="E24" i="42"/>
  <c r="F24" i="42"/>
  <c r="H24" i="42"/>
  <c r="I24" i="42"/>
  <c r="J24" i="42"/>
  <c r="K24" i="42"/>
  <c r="D25" i="42"/>
  <c r="E25" i="42"/>
  <c r="F25" i="42"/>
  <c r="J25" i="42"/>
  <c r="D26" i="42"/>
  <c r="F26" i="42"/>
  <c r="D27" i="42"/>
  <c r="E27" i="42"/>
  <c r="F27" i="42"/>
  <c r="H27" i="42"/>
  <c r="I27" i="42"/>
  <c r="K27" i="42"/>
  <c r="D28" i="42"/>
  <c r="E28" i="42"/>
  <c r="F28" i="42"/>
  <c r="J28" i="42"/>
  <c r="K28" i="42"/>
  <c r="D22" i="44"/>
  <c r="F22" i="44"/>
  <c r="K22" i="44"/>
  <c r="D23" i="44"/>
  <c r="E23" i="44"/>
  <c r="H23" i="44"/>
  <c r="D24" i="44"/>
  <c r="E24" i="44"/>
  <c r="F24" i="44"/>
  <c r="H24" i="44"/>
  <c r="I24" i="44"/>
  <c r="K24" i="44"/>
  <c r="D25" i="44"/>
  <c r="F25" i="44"/>
  <c r="J25" i="44"/>
  <c r="D26" i="44"/>
  <c r="F26" i="44"/>
  <c r="J26" i="44"/>
  <c r="D27" i="44"/>
  <c r="E27" i="44"/>
  <c r="F27" i="44"/>
  <c r="G27" i="44"/>
  <c r="H27" i="44"/>
  <c r="K27" i="44"/>
  <c r="D28" i="44"/>
  <c r="E28" i="44"/>
  <c r="F28" i="44"/>
  <c r="H28" i="44"/>
  <c r="I28" i="44"/>
  <c r="K28" i="44"/>
  <c r="D22" i="45"/>
  <c r="E22" i="45"/>
  <c r="F22" i="45"/>
  <c r="K22" i="45"/>
  <c r="D23" i="45"/>
  <c r="G23" i="45"/>
  <c r="D24" i="45"/>
  <c r="E24" i="45"/>
  <c r="F24" i="45"/>
  <c r="G24" i="45"/>
  <c r="H24" i="45"/>
  <c r="I24" i="45"/>
  <c r="K24" i="45"/>
  <c r="D25" i="45"/>
  <c r="F25" i="45"/>
  <c r="J25" i="45"/>
  <c r="K25" i="45"/>
  <c r="D26" i="45"/>
  <c r="F26" i="45"/>
  <c r="D27" i="45"/>
  <c r="E27" i="45"/>
  <c r="F27" i="45"/>
  <c r="H27" i="45"/>
  <c r="I27" i="45"/>
  <c r="D28" i="45"/>
  <c r="E28" i="45"/>
  <c r="F28" i="45"/>
  <c r="H28" i="45"/>
  <c r="J28" i="45"/>
  <c r="K28" i="45"/>
  <c r="D22" i="46"/>
  <c r="E22" i="46"/>
  <c r="K22" i="46"/>
  <c r="D23" i="46"/>
  <c r="F23" i="46"/>
  <c r="G23" i="46"/>
  <c r="D24" i="46"/>
  <c r="E24" i="46"/>
  <c r="F24" i="46"/>
  <c r="G24" i="46"/>
  <c r="H24" i="46"/>
  <c r="I24" i="46"/>
  <c r="K24" i="46"/>
  <c r="D25" i="46"/>
  <c r="F25" i="46"/>
  <c r="J25" i="46"/>
  <c r="D26" i="46"/>
  <c r="E26" i="46"/>
  <c r="F26" i="46"/>
  <c r="K26" i="46"/>
  <c r="D27" i="46"/>
  <c r="E27" i="46"/>
  <c r="F27" i="46"/>
  <c r="H27" i="46"/>
  <c r="I27" i="46"/>
  <c r="D28" i="46"/>
  <c r="E28" i="46"/>
  <c r="F28" i="46"/>
  <c r="G28" i="46"/>
  <c r="J28" i="46"/>
  <c r="K28" i="46"/>
  <c r="D22" i="47"/>
  <c r="F22" i="47"/>
  <c r="D23" i="47"/>
  <c r="E23" i="47"/>
  <c r="F23" i="47"/>
  <c r="H23" i="47"/>
  <c r="D24" i="47"/>
  <c r="E24" i="47"/>
  <c r="F24" i="47"/>
  <c r="H24" i="47"/>
  <c r="I24" i="47"/>
  <c r="K24" i="47"/>
  <c r="D25" i="47"/>
  <c r="F25" i="47"/>
  <c r="D26" i="47"/>
  <c r="F26" i="47"/>
  <c r="H26" i="47"/>
  <c r="D27" i="47"/>
  <c r="E27" i="47"/>
  <c r="F27" i="47"/>
  <c r="H27" i="47"/>
  <c r="I27" i="47"/>
  <c r="D28" i="47"/>
  <c r="E28" i="47"/>
  <c r="F28" i="47"/>
  <c r="G28" i="47"/>
  <c r="J28" i="47"/>
  <c r="K28" i="47"/>
  <c r="D22" i="48"/>
  <c r="E22" i="48"/>
  <c r="K22" i="48"/>
  <c r="D23" i="48"/>
  <c r="G23" i="48"/>
  <c r="I23" i="48"/>
  <c r="D24" i="48"/>
  <c r="E24" i="48"/>
  <c r="F24" i="48"/>
  <c r="G24" i="48"/>
  <c r="H24" i="48"/>
  <c r="I24" i="48"/>
  <c r="K24" i="48"/>
  <c r="D25" i="48"/>
  <c r="F25" i="48"/>
  <c r="J25" i="48"/>
  <c r="K25" i="48"/>
  <c r="D26" i="48"/>
  <c r="F26" i="48"/>
  <c r="K26" i="48"/>
  <c r="D27" i="48"/>
  <c r="E27" i="48"/>
  <c r="F27" i="48"/>
  <c r="H27" i="48"/>
  <c r="K27" i="48"/>
  <c r="D28" i="48"/>
  <c r="E28" i="48"/>
  <c r="F28" i="48"/>
  <c r="G28" i="48"/>
  <c r="H28" i="48"/>
  <c r="K28" i="48"/>
  <c r="D22" i="49"/>
  <c r="K22" i="49"/>
  <c r="D23" i="49"/>
  <c r="E23" i="49"/>
  <c r="H23" i="49"/>
  <c r="D24" i="49"/>
  <c r="E24" i="49"/>
  <c r="F24" i="49"/>
  <c r="H24" i="49"/>
  <c r="I24" i="49"/>
  <c r="K24" i="49"/>
  <c r="D25" i="49"/>
  <c r="F25" i="49"/>
  <c r="H25" i="49"/>
  <c r="D26" i="49"/>
  <c r="F26" i="49"/>
  <c r="D27" i="49"/>
  <c r="E27" i="49"/>
  <c r="F27" i="49"/>
  <c r="H27" i="49"/>
  <c r="I27" i="49"/>
  <c r="K27" i="49"/>
  <c r="D28" i="49"/>
  <c r="E28" i="49"/>
  <c r="F28" i="49"/>
  <c r="I28" i="49"/>
  <c r="J28" i="49"/>
  <c r="K28" i="49"/>
  <c r="D22" i="50"/>
  <c r="F22" i="50"/>
  <c r="K22" i="50"/>
  <c r="D23" i="50"/>
  <c r="E23" i="50"/>
  <c r="F23" i="50"/>
  <c r="D24" i="50"/>
  <c r="E24" i="50"/>
  <c r="F24" i="50"/>
  <c r="G24" i="50"/>
  <c r="H24" i="50"/>
  <c r="I24" i="50"/>
  <c r="K24" i="50"/>
  <c r="D25" i="50"/>
  <c r="F25" i="50"/>
  <c r="G25" i="50"/>
  <c r="J25" i="50"/>
  <c r="D26" i="50"/>
  <c r="F26" i="50"/>
  <c r="I26" i="50"/>
  <c r="D27" i="50"/>
  <c r="E27" i="50"/>
  <c r="F27" i="50"/>
  <c r="H27" i="50"/>
  <c r="I27" i="50"/>
  <c r="D28" i="50"/>
  <c r="E28" i="50"/>
  <c r="F28" i="50"/>
  <c r="H28" i="50"/>
  <c r="J28" i="50"/>
  <c r="K28" i="50"/>
  <c r="D22" i="51"/>
  <c r="E22" i="51"/>
  <c r="I22" i="51"/>
  <c r="D23" i="51"/>
  <c r="E23" i="51"/>
  <c r="F23" i="51"/>
  <c r="G23" i="51"/>
  <c r="D24" i="51"/>
  <c r="E24" i="51"/>
  <c r="F24" i="51"/>
  <c r="G24" i="51"/>
  <c r="H24" i="51"/>
  <c r="I24" i="51"/>
  <c r="J24" i="51"/>
  <c r="K24" i="51"/>
  <c r="D25" i="51"/>
  <c r="F25" i="51"/>
  <c r="G25" i="51"/>
  <c r="J25" i="51"/>
  <c r="K25" i="51"/>
  <c r="D26" i="51"/>
  <c r="F26" i="51"/>
  <c r="G26" i="51"/>
  <c r="D27" i="51"/>
  <c r="E27" i="51"/>
  <c r="F27" i="51"/>
  <c r="H27" i="51"/>
  <c r="I27" i="51"/>
  <c r="K27" i="51"/>
  <c r="D28" i="51"/>
  <c r="E28" i="51"/>
  <c r="F28" i="51"/>
  <c r="H28" i="51"/>
  <c r="I28" i="51"/>
  <c r="J28" i="51"/>
  <c r="K28" i="51"/>
  <c r="D22" i="52"/>
  <c r="E22" i="52"/>
  <c r="F22" i="52"/>
  <c r="K22" i="52"/>
  <c r="D23" i="52"/>
  <c r="E23" i="52"/>
  <c r="G23" i="52"/>
  <c r="H23" i="52"/>
  <c r="D24" i="52"/>
  <c r="E24" i="52"/>
  <c r="F24" i="52"/>
  <c r="G24" i="52"/>
  <c r="H24" i="52"/>
  <c r="I24" i="52"/>
  <c r="K24" i="52"/>
  <c r="D25" i="52"/>
  <c r="F25" i="52"/>
  <c r="I25" i="52"/>
  <c r="J25" i="52"/>
  <c r="D26" i="52"/>
  <c r="F26" i="52"/>
  <c r="D27" i="52"/>
  <c r="E27" i="52"/>
  <c r="F27" i="52"/>
  <c r="H27" i="52"/>
  <c r="I27" i="52"/>
  <c r="K27" i="52"/>
  <c r="D28" i="52"/>
  <c r="E28" i="52"/>
  <c r="F28" i="52"/>
  <c r="G28" i="52"/>
  <c r="H28" i="52"/>
  <c r="J28" i="52"/>
  <c r="K28" i="52"/>
  <c r="I5" i="52"/>
  <c r="E93" i="52" s="1"/>
  <c r="F5" i="52"/>
  <c r="D93" i="52" s="1"/>
  <c r="D41" i="52"/>
  <c r="E94" i="52" s="1"/>
  <c r="F9" i="52"/>
  <c r="F7" i="52"/>
  <c r="F6" i="52"/>
  <c r="D42" i="52"/>
  <c r="E95" i="52" s="1"/>
  <c r="C42" i="52"/>
  <c r="D43" i="52"/>
  <c r="E96" i="52" s="1"/>
  <c r="C43" i="52"/>
  <c r="D96" i="52" s="1"/>
  <c r="D45" i="52"/>
  <c r="F97" i="52" s="1"/>
  <c r="D46" i="52"/>
  <c r="E98" i="52" s="1"/>
  <c r="C44" i="52"/>
  <c r="D99" i="52" s="1"/>
  <c r="D44" i="52"/>
  <c r="E99" i="52" s="1"/>
  <c r="D47" i="52"/>
  <c r="E47" i="52" s="1"/>
  <c r="F47" i="52" s="1"/>
  <c r="G47" i="52" s="1"/>
  <c r="H47" i="52" s="1"/>
  <c r="I47" i="52" s="1"/>
  <c r="D48" i="52"/>
  <c r="C22" i="52"/>
  <c r="C23" i="52"/>
  <c r="C24" i="52"/>
  <c r="C28" i="52"/>
  <c r="D50" i="52"/>
  <c r="E106" i="52" s="1"/>
  <c r="C50" i="52"/>
  <c r="D106" i="52" s="1"/>
  <c r="C51" i="52"/>
  <c r="D107" i="52" s="1"/>
  <c r="D51" i="52"/>
  <c r="E107" i="52" s="1"/>
  <c r="D52" i="52"/>
  <c r="E108" i="52" s="1"/>
  <c r="C52" i="52"/>
  <c r="D108" i="52" s="1"/>
  <c r="C53" i="52"/>
  <c r="D109" i="52" s="1"/>
  <c r="D53" i="52"/>
  <c r="E109" i="52" s="1"/>
  <c r="D54" i="52"/>
  <c r="E110" i="52" s="1"/>
  <c r="C54" i="52"/>
  <c r="D110" i="52" s="1"/>
  <c r="I7" i="52"/>
  <c r="E86" i="52" s="1"/>
  <c r="F13" i="52"/>
  <c r="F10" i="52"/>
  <c r="I8" i="52"/>
  <c r="E87" i="52" s="1"/>
  <c r="F14" i="52"/>
  <c r="I9" i="52"/>
  <c r="E88" i="52" s="1"/>
  <c r="F15" i="52"/>
  <c r="I5" i="51"/>
  <c r="E93" i="51" s="1"/>
  <c r="F5" i="51"/>
  <c r="D93" i="51" s="1"/>
  <c r="D41" i="51"/>
  <c r="E94" i="51" s="1"/>
  <c r="F9" i="51"/>
  <c r="F7" i="51"/>
  <c r="F6" i="51"/>
  <c r="D42" i="51"/>
  <c r="E95" i="51" s="1"/>
  <c r="C42" i="51"/>
  <c r="D95" i="51" s="1"/>
  <c r="D43" i="51"/>
  <c r="E96" i="51" s="1"/>
  <c r="C43" i="51"/>
  <c r="D96" i="51" s="1"/>
  <c r="D45" i="51"/>
  <c r="F97" i="51" s="1"/>
  <c r="D46" i="51"/>
  <c r="E98" i="51" s="1"/>
  <c r="C44" i="51"/>
  <c r="D99" i="51" s="1"/>
  <c r="D44" i="51"/>
  <c r="E99" i="51" s="1"/>
  <c r="D47" i="51"/>
  <c r="E47" i="51" s="1"/>
  <c r="F47" i="51" s="1"/>
  <c r="G47" i="51" s="1"/>
  <c r="H47" i="51" s="1"/>
  <c r="I47" i="51" s="1"/>
  <c r="D48" i="51"/>
  <c r="F101" i="51" s="1"/>
  <c r="C22" i="51"/>
  <c r="C23" i="51"/>
  <c r="C24" i="51"/>
  <c r="C28" i="51"/>
  <c r="D50" i="51"/>
  <c r="E106" i="51" s="1"/>
  <c r="C50" i="51"/>
  <c r="D106" i="51" s="1"/>
  <c r="C51" i="51"/>
  <c r="D107" i="51" s="1"/>
  <c r="D51" i="51"/>
  <c r="E107" i="51" s="1"/>
  <c r="D52" i="51"/>
  <c r="E108" i="51" s="1"/>
  <c r="C52" i="51"/>
  <c r="D108" i="51" s="1"/>
  <c r="C53" i="51"/>
  <c r="D109" i="51" s="1"/>
  <c r="D53" i="51"/>
  <c r="E109" i="51" s="1"/>
  <c r="D54" i="51"/>
  <c r="E110" i="51" s="1"/>
  <c r="C54" i="51"/>
  <c r="D110" i="51" s="1"/>
  <c r="I7" i="51"/>
  <c r="E86" i="51" s="1"/>
  <c r="F13" i="51"/>
  <c r="F10" i="51"/>
  <c r="I8" i="51"/>
  <c r="E87" i="51" s="1"/>
  <c r="F14" i="51"/>
  <c r="I9" i="51"/>
  <c r="E88" i="51" s="1"/>
  <c r="F15" i="51"/>
  <c r="C27" i="52"/>
  <c r="C26" i="52"/>
  <c r="C25" i="52"/>
  <c r="C61" i="52"/>
  <c r="E45" i="52"/>
  <c r="F45" i="52" s="1"/>
  <c r="G45" i="52" s="1"/>
  <c r="H45" i="52" s="1"/>
  <c r="I45" i="52" s="1"/>
  <c r="F50" i="52"/>
  <c r="G50" i="52" s="1"/>
  <c r="H50" i="52" s="1"/>
  <c r="I50" i="52" s="1"/>
  <c r="F52" i="52"/>
  <c r="G52" i="52"/>
  <c r="H52" i="52" s="1"/>
  <c r="I52" i="52" s="1"/>
  <c r="I6" i="52"/>
  <c r="I5" i="50"/>
  <c r="E93" i="50" s="1"/>
  <c r="F5" i="50"/>
  <c r="D93" i="50" s="1"/>
  <c r="D41" i="50"/>
  <c r="E94" i="50" s="1"/>
  <c r="F9" i="50"/>
  <c r="F7" i="50"/>
  <c r="F6" i="50"/>
  <c r="D42" i="50"/>
  <c r="E95" i="50" s="1"/>
  <c r="C42" i="50"/>
  <c r="D43" i="50"/>
  <c r="E96" i="50" s="1"/>
  <c r="C43" i="50"/>
  <c r="D96" i="50" s="1"/>
  <c r="D45" i="50"/>
  <c r="F97" i="50" s="1"/>
  <c r="D46" i="50"/>
  <c r="E98" i="50" s="1"/>
  <c r="C44" i="50"/>
  <c r="D99" i="50" s="1"/>
  <c r="D44" i="50"/>
  <c r="E99" i="50" s="1"/>
  <c r="D47" i="50"/>
  <c r="F100" i="50" s="1"/>
  <c r="D48" i="50"/>
  <c r="E48" i="50" s="1"/>
  <c r="F48" i="50" s="1"/>
  <c r="G48" i="50" s="1"/>
  <c r="H48" i="50" s="1"/>
  <c r="I48" i="50" s="1"/>
  <c r="C22" i="50"/>
  <c r="C23" i="50"/>
  <c r="C24" i="50"/>
  <c r="C28" i="50"/>
  <c r="D50" i="50"/>
  <c r="E106" i="50" s="1"/>
  <c r="C50" i="50"/>
  <c r="D106" i="50" s="1"/>
  <c r="C51" i="50"/>
  <c r="D107" i="50" s="1"/>
  <c r="D51" i="50"/>
  <c r="E107" i="50" s="1"/>
  <c r="D52" i="50"/>
  <c r="E108" i="50" s="1"/>
  <c r="C52" i="50"/>
  <c r="D108" i="50" s="1"/>
  <c r="C53" i="50"/>
  <c r="D109" i="50" s="1"/>
  <c r="D53" i="50"/>
  <c r="E109" i="50" s="1"/>
  <c r="D54" i="50"/>
  <c r="E110" i="50" s="1"/>
  <c r="C54" i="50"/>
  <c r="D110" i="50" s="1"/>
  <c r="I7" i="50"/>
  <c r="E86" i="50" s="1"/>
  <c r="F13" i="50"/>
  <c r="F10" i="50"/>
  <c r="I8" i="50"/>
  <c r="E87" i="50" s="1"/>
  <c r="F14" i="50"/>
  <c r="I9" i="50"/>
  <c r="E88" i="50" s="1"/>
  <c r="F15" i="50"/>
  <c r="C27" i="51"/>
  <c r="C26" i="51"/>
  <c r="C25" i="51"/>
  <c r="C61" i="51"/>
  <c r="C40" i="51"/>
  <c r="F50" i="51"/>
  <c r="G50" i="51" s="1"/>
  <c r="H50" i="51" s="1"/>
  <c r="I50" i="51" s="1"/>
  <c r="F52" i="51"/>
  <c r="G52" i="51"/>
  <c r="H52" i="51"/>
  <c r="I52" i="51" s="1"/>
  <c r="I6" i="51"/>
  <c r="I5" i="49"/>
  <c r="E93" i="49" s="1"/>
  <c r="F5" i="49"/>
  <c r="D93" i="49" s="1"/>
  <c r="D41" i="49"/>
  <c r="E94" i="49" s="1"/>
  <c r="F9" i="49"/>
  <c r="F7" i="49"/>
  <c r="F6" i="49"/>
  <c r="D42" i="49"/>
  <c r="C42" i="49"/>
  <c r="D95" i="49" s="1"/>
  <c r="D43" i="49"/>
  <c r="E96" i="49" s="1"/>
  <c r="C43" i="49"/>
  <c r="D96" i="49" s="1"/>
  <c r="D45" i="49"/>
  <c r="F97" i="49" s="1"/>
  <c r="D46" i="49"/>
  <c r="E98" i="49" s="1"/>
  <c r="C44" i="49"/>
  <c r="D44" i="49"/>
  <c r="E99" i="49" s="1"/>
  <c r="D47" i="49"/>
  <c r="F100" i="49" s="1"/>
  <c r="D48" i="49"/>
  <c r="F101" i="49" s="1"/>
  <c r="C22" i="49"/>
  <c r="C23" i="49"/>
  <c r="C24" i="49"/>
  <c r="C28" i="49"/>
  <c r="D50" i="49"/>
  <c r="E106" i="49" s="1"/>
  <c r="C50" i="49"/>
  <c r="D106" i="49" s="1"/>
  <c r="C51" i="49"/>
  <c r="D107" i="49" s="1"/>
  <c r="D51" i="49"/>
  <c r="E107" i="49" s="1"/>
  <c r="D52" i="49"/>
  <c r="E108" i="49" s="1"/>
  <c r="C52" i="49"/>
  <c r="D108" i="49" s="1"/>
  <c r="C53" i="49"/>
  <c r="D109" i="49" s="1"/>
  <c r="D53" i="49"/>
  <c r="E109" i="49" s="1"/>
  <c r="D54" i="49"/>
  <c r="E110" i="49" s="1"/>
  <c r="C54" i="49"/>
  <c r="D110" i="49" s="1"/>
  <c r="F10" i="49"/>
  <c r="I7" i="49"/>
  <c r="E86" i="49" s="1"/>
  <c r="F13" i="49"/>
  <c r="I8" i="49"/>
  <c r="E87" i="49" s="1"/>
  <c r="F14" i="49"/>
  <c r="I9" i="49"/>
  <c r="E88" i="49" s="1"/>
  <c r="F15" i="49"/>
  <c r="C27" i="50"/>
  <c r="C26" i="50"/>
  <c r="C25" i="50"/>
  <c r="C61" i="50"/>
  <c r="F50" i="50"/>
  <c r="F52" i="50"/>
  <c r="G52" i="50" s="1"/>
  <c r="H52" i="50" s="1"/>
  <c r="I52" i="50" s="1"/>
  <c r="G50" i="50"/>
  <c r="H50" i="50" s="1"/>
  <c r="I50" i="50" s="1"/>
  <c r="I6" i="50"/>
  <c r="I5" i="48"/>
  <c r="E93" i="48" s="1"/>
  <c r="F5" i="48"/>
  <c r="C40" i="48" s="1"/>
  <c r="D41" i="48"/>
  <c r="E94" i="48" s="1"/>
  <c r="F9" i="48"/>
  <c r="F7" i="48"/>
  <c r="F6" i="48"/>
  <c r="D42" i="48"/>
  <c r="C42" i="48"/>
  <c r="D95" i="48" s="1"/>
  <c r="D43" i="48"/>
  <c r="C43" i="48"/>
  <c r="D96" i="48" s="1"/>
  <c r="D45" i="48"/>
  <c r="F97" i="48" s="1"/>
  <c r="D46" i="48"/>
  <c r="E98" i="48" s="1"/>
  <c r="C44" i="48"/>
  <c r="D44" i="48"/>
  <c r="E99" i="48" s="1"/>
  <c r="D47" i="48"/>
  <c r="F100" i="48" s="1"/>
  <c r="D48" i="48"/>
  <c r="F101" i="48" s="1"/>
  <c r="C22" i="48"/>
  <c r="C23" i="48"/>
  <c r="C24" i="48"/>
  <c r="C28" i="48"/>
  <c r="D50" i="48"/>
  <c r="E106" i="48" s="1"/>
  <c r="C50" i="48"/>
  <c r="D106" i="48" s="1"/>
  <c r="C51" i="48"/>
  <c r="D107" i="48" s="1"/>
  <c r="D51" i="48"/>
  <c r="E107" i="48" s="1"/>
  <c r="D52" i="48"/>
  <c r="E108" i="48" s="1"/>
  <c r="C52" i="48"/>
  <c r="D108" i="48" s="1"/>
  <c r="C53" i="48"/>
  <c r="D109" i="48" s="1"/>
  <c r="D53" i="48"/>
  <c r="E109" i="48" s="1"/>
  <c r="D54" i="48"/>
  <c r="E110" i="48" s="1"/>
  <c r="C54" i="48"/>
  <c r="D110" i="48" s="1"/>
  <c r="I7" i="48"/>
  <c r="E86" i="48" s="1"/>
  <c r="F13" i="48"/>
  <c r="F10" i="48"/>
  <c r="I8" i="48"/>
  <c r="E87" i="48" s="1"/>
  <c r="F14" i="48"/>
  <c r="I9" i="48"/>
  <c r="E88" i="48" s="1"/>
  <c r="F15" i="48"/>
  <c r="C27" i="49"/>
  <c r="C26" i="49"/>
  <c r="C25" i="49"/>
  <c r="C61" i="49"/>
  <c r="E47" i="49"/>
  <c r="F47" i="49" s="1"/>
  <c r="G47" i="49" s="1"/>
  <c r="H47" i="49" s="1"/>
  <c r="I47" i="49" s="1"/>
  <c r="F50" i="49"/>
  <c r="F52" i="49"/>
  <c r="G52" i="49" s="1"/>
  <c r="H52" i="49" s="1"/>
  <c r="I52" i="49" s="1"/>
  <c r="G50" i="49"/>
  <c r="H50" i="49" s="1"/>
  <c r="I50" i="49" s="1"/>
  <c r="I6" i="49"/>
  <c r="I5" i="47"/>
  <c r="E93" i="47" s="1"/>
  <c r="F5" i="47"/>
  <c r="C40" i="47" s="1"/>
  <c r="D41" i="47"/>
  <c r="E94" i="47" s="1"/>
  <c r="F9" i="47"/>
  <c r="F7" i="47"/>
  <c r="F6" i="47"/>
  <c r="D42" i="47"/>
  <c r="E95" i="47" s="1"/>
  <c r="F95" i="47" s="1"/>
  <c r="C42" i="47"/>
  <c r="D95" i="47"/>
  <c r="D43" i="47"/>
  <c r="E96" i="47" s="1"/>
  <c r="C43" i="47"/>
  <c r="D96" i="47" s="1"/>
  <c r="D45" i="47"/>
  <c r="F97" i="47" s="1"/>
  <c r="D46" i="47"/>
  <c r="E98" i="47" s="1"/>
  <c r="C44" i="47"/>
  <c r="D44" i="47"/>
  <c r="E99" i="47" s="1"/>
  <c r="D47" i="47"/>
  <c r="F100" i="47" s="1"/>
  <c r="D48" i="47"/>
  <c r="E48" i="47" s="1"/>
  <c r="F48" i="47" s="1"/>
  <c r="G48" i="47" s="1"/>
  <c r="H48" i="47" s="1"/>
  <c r="I48" i="47" s="1"/>
  <c r="C22" i="47"/>
  <c r="C23" i="47"/>
  <c r="C24" i="47"/>
  <c r="C28" i="47"/>
  <c r="D50" i="47"/>
  <c r="E106" i="47" s="1"/>
  <c r="C50" i="47"/>
  <c r="D106" i="47" s="1"/>
  <c r="C51" i="47"/>
  <c r="D107" i="47" s="1"/>
  <c r="D51" i="47"/>
  <c r="E107" i="47" s="1"/>
  <c r="D52" i="47"/>
  <c r="E108" i="47" s="1"/>
  <c r="C52" i="47"/>
  <c r="D108" i="47" s="1"/>
  <c r="C53" i="47"/>
  <c r="D109" i="47" s="1"/>
  <c r="D53" i="47"/>
  <c r="E109" i="47" s="1"/>
  <c r="D54" i="47"/>
  <c r="E110" i="47" s="1"/>
  <c r="C54" i="47"/>
  <c r="D110" i="47" s="1"/>
  <c r="I7" i="47"/>
  <c r="E86" i="47" s="1"/>
  <c r="F13" i="47"/>
  <c r="F10" i="47"/>
  <c r="I8" i="47"/>
  <c r="E87" i="47" s="1"/>
  <c r="F14" i="47"/>
  <c r="I9" i="47"/>
  <c r="E88" i="47" s="1"/>
  <c r="F15" i="47"/>
  <c r="C27" i="48"/>
  <c r="C26" i="48"/>
  <c r="C25" i="48"/>
  <c r="C61" i="48"/>
  <c r="E45" i="48"/>
  <c r="F45" i="48" s="1"/>
  <c r="G45" i="48" s="1"/>
  <c r="H45" i="48" s="1"/>
  <c r="I45" i="48" s="1"/>
  <c r="F50" i="48"/>
  <c r="G50" i="48" s="1"/>
  <c r="H50" i="48" s="1"/>
  <c r="I50" i="48" s="1"/>
  <c r="F52" i="48"/>
  <c r="G52" i="48" s="1"/>
  <c r="H52" i="48" s="1"/>
  <c r="I52" i="48" s="1"/>
  <c r="I6" i="48"/>
  <c r="I5" i="46"/>
  <c r="E93" i="46" s="1"/>
  <c r="F5" i="46"/>
  <c r="C40" i="46" s="1"/>
  <c r="D41" i="46"/>
  <c r="E94" i="46" s="1"/>
  <c r="F9" i="46"/>
  <c r="F7" i="46"/>
  <c r="F6" i="46"/>
  <c r="D42" i="46"/>
  <c r="E95" i="46" s="1"/>
  <c r="C42" i="46"/>
  <c r="D43" i="46"/>
  <c r="E96" i="46" s="1"/>
  <c r="C43" i="46"/>
  <c r="D96" i="46" s="1"/>
  <c r="D45" i="46"/>
  <c r="E45" i="46" s="1"/>
  <c r="F45" i="46" s="1"/>
  <c r="G45" i="46" s="1"/>
  <c r="H45" i="46" s="1"/>
  <c r="I45" i="46" s="1"/>
  <c r="D46" i="46"/>
  <c r="E98" i="46" s="1"/>
  <c r="C44" i="46"/>
  <c r="D99" i="46" s="1"/>
  <c r="D44" i="46"/>
  <c r="E99" i="46" s="1"/>
  <c r="D47" i="46"/>
  <c r="E47" i="46" s="1"/>
  <c r="F47" i="46" s="1"/>
  <c r="G47" i="46" s="1"/>
  <c r="H47" i="46" s="1"/>
  <c r="I47" i="46" s="1"/>
  <c r="D48" i="46"/>
  <c r="F101" i="46" s="1"/>
  <c r="C22" i="46"/>
  <c r="C23" i="46"/>
  <c r="C24" i="46"/>
  <c r="C28" i="46"/>
  <c r="D50" i="46"/>
  <c r="E106" i="46" s="1"/>
  <c r="C50" i="46"/>
  <c r="D106" i="46" s="1"/>
  <c r="C51" i="46"/>
  <c r="D107" i="46" s="1"/>
  <c r="D51" i="46"/>
  <c r="E107" i="46" s="1"/>
  <c r="D52" i="46"/>
  <c r="E108" i="46" s="1"/>
  <c r="C52" i="46"/>
  <c r="D108" i="46" s="1"/>
  <c r="C53" i="46"/>
  <c r="D109" i="46" s="1"/>
  <c r="D53" i="46"/>
  <c r="E109" i="46" s="1"/>
  <c r="D54" i="46"/>
  <c r="E110" i="46" s="1"/>
  <c r="C54" i="46"/>
  <c r="D110" i="46" s="1"/>
  <c r="I7" i="46"/>
  <c r="E86" i="46" s="1"/>
  <c r="F13" i="46"/>
  <c r="F10" i="46"/>
  <c r="I8" i="46"/>
  <c r="E87" i="46" s="1"/>
  <c r="F14" i="46"/>
  <c r="I9" i="46"/>
  <c r="E88" i="46" s="1"/>
  <c r="F15" i="46"/>
  <c r="C27" i="47"/>
  <c r="C26" i="47"/>
  <c r="C25" i="47"/>
  <c r="C61" i="47"/>
  <c r="E45" i="47"/>
  <c r="F45" i="47" s="1"/>
  <c r="G45" i="47" s="1"/>
  <c r="H45" i="47" s="1"/>
  <c r="I45" i="47" s="1"/>
  <c r="E47" i="47"/>
  <c r="F47" i="47" s="1"/>
  <c r="G47" i="47" s="1"/>
  <c r="H47" i="47" s="1"/>
  <c r="I47" i="47" s="1"/>
  <c r="F50" i="47"/>
  <c r="G50" i="47" s="1"/>
  <c r="H50" i="47" s="1"/>
  <c r="I50" i="47" s="1"/>
  <c r="F52" i="47"/>
  <c r="G52" i="47" s="1"/>
  <c r="H52" i="47" s="1"/>
  <c r="I52" i="47" s="1"/>
  <c r="I6" i="47"/>
  <c r="I5" i="45"/>
  <c r="E93" i="45" s="1"/>
  <c r="F5" i="45"/>
  <c r="D93" i="45" s="1"/>
  <c r="D41" i="45"/>
  <c r="E94" i="45" s="1"/>
  <c r="F9" i="45"/>
  <c r="F7" i="45"/>
  <c r="F6" i="45"/>
  <c r="D42" i="45"/>
  <c r="C42" i="45"/>
  <c r="D95" i="45" s="1"/>
  <c r="D43" i="45"/>
  <c r="E96" i="45" s="1"/>
  <c r="C43" i="45"/>
  <c r="D45" i="45"/>
  <c r="F97" i="45" s="1"/>
  <c r="D46" i="45"/>
  <c r="E98" i="45" s="1"/>
  <c r="C44" i="45"/>
  <c r="D99" i="45" s="1"/>
  <c r="D44" i="45"/>
  <c r="E99" i="45" s="1"/>
  <c r="D47" i="45"/>
  <c r="F100" i="45" s="1"/>
  <c r="D48" i="45"/>
  <c r="F101" i="45" s="1"/>
  <c r="C22" i="45"/>
  <c r="C23" i="45"/>
  <c r="C24" i="45"/>
  <c r="C28" i="45"/>
  <c r="D50" i="45"/>
  <c r="E106" i="45" s="1"/>
  <c r="C50" i="45"/>
  <c r="D106" i="45" s="1"/>
  <c r="C51" i="45"/>
  <c r="D107" i="45" s="1"/>
  <c r="D51" i="45"/>
  <c r="E107" i="45" s="1"/>
  <c r="D52" i="45"/>
  <c r="E108" i="45" s="1"/>
  <c r="C52" i="45"/>
  <c r="D108" i="45" s="1"/>
  <c r="C53" i="45"/>
  <c r="D109" i="45" s="1"/>
  <c r="D53" i="45"/>
  <c r="E109" i="45" s="1"/>
  <c r="D54" i="45"/>
  <c r="E110" i="45" s="1"/>
  <c r="C54" i="45"/>
  <c r="D110" i="45" s="1"/>
  <c r="F10" i="45"/>
  <c r="I7" i="45"/>
  <c r="E86" i="45" s="1"/>
  <c r="F13" i="45"/>
  <c r="I8" i="45"/>
  <c r="E87" i="45" s="1"/>
  <c r="F14" i="45"/>
  <c r="I9" i="45"/>
  <c r="E88" i="45" s="1"/>
  <c r="F15" i="45"/>
  <c r="C27" i="46"/>
  <c r="C26" i="46"/>
  <c r="C25" i="46"/>
  <c r="C61" i="46"/>
  <c r="F50" i="46"/>
  <c r="F52" i="46"/>
  <c r="G52" i="46" s="1"/>
  <c r="H52" i="46" s="1"/>
  <c r="I52" i="46" s="1"/>
  <c r="G50" i="46"/>
  <c r="H50" i="46" s="1"/>
  <c r="I50" i="46" s="1"/>
  <c r="I6" i="46"/>
  <c r="I5" i="41"/>
  <c r="E93" i="41" s="1"/>
  <c r="F5" i="41"/>
  <c r="C40" i="41" s="1"/>
  <c r="D41" i="41"/>
  <c r="E94" i="41" s="1"/>
  <c r="F9" i="41"/>
  <c r="F7" i="41"/>
  <c r="F6" i="41"/>
  <c r="D42" i="41"/>
  <c r="E95" i="41" s="1"/>
  <c r="C42" i="41"/>
  <c r="D95" i="41" s="1"/>
  <c r="D43" i="41"/>
  <c r="E96" i="41" s="1"/>
  <c r="C43" i="41"/>
  <c r="D96" i="41" s="1"/>
  <c r="D45" i="41"/>
  <c r="F97" i="41" s="1"/>
  <c r="D46" i="41"/>
  <c r="E98" i="41" s="1"/>
  <c r="C44" i="41"/>
  <c r="D99" i="41" s="1"/>
  <c r="D44" i="41"/>
  <c r="D47" i="41"/>
  <c r="F100" i="41" s="1"/>
  <c r="D48" i="41"/>
  <c r="F101" i="41" s="1"/>
  <c r="C22" i="41"/>
  <c r="C23" i="41"/>
  <c r="C24" i="41"/>
  <c r="C28" i="41"/>
  <c r="D50" i="41"/>
  <c r="E106" i="41" s="1"/>
  <c r="C50" i="41"/>
  <c r="D106" i="41" s="1"/>
  <c r="C51" i="41"/>
  <c r="D107" i="41" s="1"/>
  <c r="D51" i="41"/>
  <c r="E107" i="41" s="1"/>
  <c r="D52" i="41"/>
  <c r="E108" i="41" s="1"/>
  <c r="C52" i="41"/>
  <c r="D108" i="41" s="1"/>
  <c r="C53" i="41"/>
  <c r="D109" i="41" s="1"/>
  <c r="D53" i="41"/>
  <c r="E109" i="41" s="1"/>
  <c r="D54" i="41"/>
  <c r="E110" i="41" s="1"/>
  <c r="C54" i="41"/>
  <c r="D110" i="41" s="1"/>
  <c r="F13" i="41"/>
  <c r="F10" i="41"/>
  <c r="F14" i="41"/>
  <c r="F15" i="41"/>
  <c r="I7" i="41"/>
  <c r="E86" i="41" s="1"/>
  <c r="I8" i="41"/>
  <c r="E87" i="41" s="1"/>
  <c r="I9" i="41"/>
  <c r="E88" i="41" s="1"/>
  <c r="I5" i="44"/>
  <c r="E93" i="44" s="1"/>
  <c r="F5" i="44"/>
  <c r="D93" i="44" s="1"/>
  <c r="D41" i="44"/>
  <c r="E94" i="44" s="1"/>
  <c r="F9" i="44"/>
  <c r="F7" i="44"/>
  <c r="F6" i="44"/>
  <c r="D42" i="44"/>
  <c r="E95" i="44" s="1"/>
  <c r="C42" i="44"/>
  <c r="D95" i="44" s="1"/>
  <c r="D43" i="44"/>
  <c r="E96" i="44" s="1"/>
  <c r="C43" i="44"/>
  <c r="D96" i="44" s="1"/>
  <c r="D45" i="44"/>
  <c r="F97" i="44" s="1"/>
  <c r="D46" i="44"/>
  <c r="E98" i="44" s="1"/>
  <c r="C44" i="44"/>
  <c r="D99" i="44" s="1"/>
  <c r="D44" i="44"/>
  <c r="E99" i="44" s="1"/>
  <c r="D47" i="44"/>
  <c r="E47" i="44" s="1"/>
  <c r="F47" i="44" s="1"/>
  <c r="G47" i="44" s="1"/>
  <c r="H47" i="44" s="1"/>
  <c r="I47" i="44" s="1"/>
  <c r="D48" i="44"/>
  <c r="F101" i="44" s="1"/>
  <c r="C22" i="44"/>
  <c r="C23" i="44"/>
  <c r="C24" i="44"/>
  <c r="C28" i="44"/>
  <c r="D50" i="44"/>
  <c r="E106" i="44" s="1"/>
  <c r="C50" i="44"/>
  <c r="D106" i="44" s="1"/>
  <c r="C51" i="44"/>
  <c r="D107" i="44" s="1"/>
  <c r="D51" i="44"/>
  <c r="E107" i="44" s="1"/>
  <c r="D52" i="44"/>
  <c r="E108" i="44" s="1"/>
  <c r="C52" i="44"/>
  <c r="D108" i="44" s="1"/>
  <c r="C53" i="44"/>
  <c r="D109" i="44" s="1"/>
  <c r="D53" i="44"/>
  <c r="E109" i="44" s="1"/>
  <c r="D54" i="44"/>
  <c r="E110" i="44" s="1"/>
  <c r="C54" i="44"/>
  <c r="D110" i="44" s="1"/>
  <c r="I7" i="44"/>
  <c r="E86" i="44" s="1"/>
  <c r="F13" i="44"/>
  <c r="F10" i="44"/>
  <c r="I8" i="44"/>
  <c r="E87" i="44" s="1"/>
  <c r="F14" i="44"/>
  <c r="I9" i="44"/>
  <c r="E88" i="44" s="1"/>
  <c r="F15" i="44"/>
  <c r="C27" i="45"/>
  <c r="C26" i="45"/>
  <c r="C25" i="45"/>
  <c r="C61" i="45"/>
  <c r="E47" i="45"/>
  <c r="F47" i="45" s="1"/>
  <c r="G47" i="45" s="1"/>
  <c r="H47" i="45" s="1"/>
  <c r="I47" i="45" s="1"/>
  <c r="F50" i="45"/>
  <c r="F52" i="45"/>
  <c r="G52" i="45" s="1"/>
  <c r="H52" i="45" s="1"/>
  <c r="I52" i="45" s="1"/>
  <c r="G50" i="45"/>
  <c r="H50" i="45"/>
  <c r="I50" i="45"/>
  <c r="I6" i="45"/>
  <c r="I5" i="42"/>
  <c r="E93" i="42" s="1"/>
  <c r="F5" i="42"/>
  <c r="D41" i="42"/>
  <c r="E94" i="42" s="1"/>
  <c r="F9" i="42"/>
  <c r="F7" i="42"/>
  <c r="F6" i="42"/>
  <c r="F17" i="42" s="1"/>
  <c r="D42" i="42"/>
  <c r="E95" i="42" s="1"/>
  <c r="C42" i="42"/>
  <c r="D43" i="42"/>
  <c r="E96" i="42" s="1"/>
  <c r="C43" i="42"/>
  <c r="D45" i="42"/>
  <c r="F97" i="42" s="1"/>
  <c r="D46" i="42"/>
  <c r="E98" i="42" s="1"/>
  <c r="C44" i="42"/>
  <c r="D99" i="42" s="1"/>
  <c r="D44" i="42"/>
  <c r="E99" i="42" s="1"/>
  <c r="D47" i="42"/>
  <c r="F100" i="42" s="1"/>
  <c r="D48" i="42"/>
  <c r="E48" i="42" s="1"/>
  <c r="F48" i="42" s="1"/>
  <c r="G48" i="42" s="1"/>
  <c r="H48" i="42" s="1"/>
  <c r="I48" i="42" s="1"/>
  <c r="C22" i="42"/>
  <c r="C23" i="42"/>
  <c r="C24" i="42"/>
  <c r="C28" i="42"/>
  <c r="D50" i="42"/>
  <c r="E106" i="42" s="1"/>
  <c r="C50" i="42"/>
  <c r="D106" i="42" s="1"/>
  <c r="C51" i="42"/>
  <c r="D107" i="42" s="1"/>
  <c r="D51" i="42"/>
  <c r="E107" i="42" s="1"/>
  <c r="D52" i="42"/>
  <c r="E108" i="42" s="1"/>
  <c r="C52" i="42"/>
  <c r="D108" i="42" s="1"/>
  <c r="C53" i="42"/>
  <c r="D109" i="42" s="1"/>
  <c r="D53" i="42"/>
  <c r="E109" i="42" s="1"/>
  <c r="D54" i="42"/>
  <c r="E110" i="42" s="1"/>
  <c r="C54" i="42"/>
  <c r="D110" i="42" s="1"/>
  <c r="F10" i="42"/>
  <c r="I7" i="42"/>
  <c r="E86" i="42" s="1"/>
  <c r="F13" i="42"/>
  <c r="I8" i="42"/>
  <c r="E87" i="42" s="1"/>
  <c r="F14" i="42"/>
  <c r="I9" i="42"/>
  <c r="E88" i="42" s="1"/>
  <c r="F15" i="42"/>
  <c r="C27" i="44"/>
  <c r="C26" i="44"/>
  <c r="C25" i="44"/>
  <c r="C61" i="44"/>
  <c r="F50" i="44"/>
  <c r="G50" i="44" s="1"/>
  <c r="F52" i="44"/>
  <c r="G52" i="44"/>
  <c r="H52" i="44" s="1"/>
  <c r="I52" i="44" s="1"/>
  <c r="H50" i="44"/>
  <c r="I50" i="44" s="1"/>
  <c r="I6" i="44"/>
  <c r="C27" i="42"/>
  <c r="C26" i="42"/>
  <c r="C25" i="42"/>
  <c r="C61" i="42"/>
  <c r="F50" i="42"/>
  <c r="G50" i="42" s="1"/>
  <c r="H50" i="42" s="1"/>
  <c r="I50" i="42" s="1"/>
  <c r="F52" i="42"/>
  <c r="G52" i="42" s="1"/>
  <c r="H52" i="42" s="1"/>
  <c r="I52" i="42" s="1"/>
  <c r="I6" i="42"/>
  <c r="I7" i="53"/>
  <c r="E86" i="53" s="1"/>
  <c r="F5" i="53"/>
  <c r="D93" i="53"/>
  <c r="F9" i="53"/>
  <c r="F10" i="53"/>
  <c r="F13" i="53"/>
  <c r="I8" i="53"/>
  <c r="E87" i="53" s="1"/>
  <c r="F14" i="53"/>
  <c r="I9" i="53"/>
  <c r="E88" i="53" s="1"/>
  <c r="F15" i="53"/>
  <c r="C27" i="41"/>
  <c r="C26" i="41"/>
  <c r="C25" i="41"/>
  <c r="C61" i="41"/>
  <c r="E48" i="41"/>
  <c r="F48" i="41" s="1"/>
  <c r="G48" i="41" s="1"/>
  <c r="H48" i="41" s="1"/>
  <c r="I48" i="41" s="1"/>
  <c r="F50" i="41"/>
  <c r="F52" i="41"/>
  <c r="G52" i="41" s="1"/>
  <c r="G50" i="41"/>
  <c r="H50" i="41"/>
  <c r="I50" i="41" s="1"/>
  <c r="H52" i="41"/>
  <c r="I52" i="41" s="1"/>
  <c r="I6" i="41"/>
  <c r="F13" i="57"/>
  <c r="F13" i="56"/>
  <c r="I5" i="53"/>
  <c r="D41" i="53"/>
  <c r="E94" i="53" s="1"/>
  <c r="F7" i="53"/>
  <c r="F6" i="53"/>
  <c r="F17" i="53" s="1"/>
  <c r="D42" i="53"/>
  <c r="E95" i="53" s="1"/>
  <c r="C42" i="53"/>
  <c r="D95" i="53" s="1"/>
  <c r="D43" i="53"/>
  <c r="E96" i="53" s="1"/>
  <c r="C43" i="53"/>
  <c r="D45" i="53"/>
  <c r="F97" i="53" s="1"/>
  <c r="D46" i="53"/>
  <c r="E98" i="53" s="1"/>
  <c r="C44" i="53"/>
  <c r="D99" i="53" s="1"/>
  <c r="D44" i="53"/>
  <c r="E99" i="53" s="1"/>
  <c r="D47" i="53"/>
  <c r="F100" i="53" s="1"/>
  <c r="D48" i="53"/>
  <c r="E48" i="53" s="1"/>
  <c r="F48" i="53" s="1"/>
  <c r="G48" i="53" s="1"/>
  <c r="H48" i="53" s="1"/>
  <c r="I48" i="53" s="1"/>
  <c r="C22" i="53"/>
  <c r="C23" i="53"/>
  <c r="C24" i="53"/>
  <c r="C28" i="53"/>
  <c r="D50" i="53"/>
  <c r="E106" i="53" s="1"/>
  <c r="F106" i="53" s="1"/>
  <c r="C50" i="53"/>
  <c r="D106" i="53" s="1"/>
  <c r="C51" i="53"/>
  <c r="D107" i="53" s="1"/>
  <c r="D51" i="53"/>
  <c r="E107" i="53" s="1"/>
  <c r="D52" i="53"/>
  <c r="E108" i="53" s="1"/>
  <c r="C52" i="53"/>
  <c r="D108" i="53" s="1"/>
  <c r="C53" i="53"/>
  <c r="D109" i="53" s="1"/>
  <c r="D53" i="53"/>
  <c r="E109" i="53" s="1"/>
  <c r="D54" i="53"/>
  <c r="E110" i="53" s="1"/>
  <c r="C54" i="53"/>
  <c r="D110" i="53" s="1"/>
  <c r="C27" i="53"/>
  <c r="C26" i="53"/>
  <c r="C25" i="53"/>
  <c r="C61" i="53"/>
  <c r="C40" i="53"/>
  <c r="E47" i="53"/>
  <c r="F47" i="53" s="1"/>
  <c r="G47" i="53" s="1"/>
  <c r="H47" i="53" s="1"/>
  <c r="I47" i="53" s="1"/>
  <c r="F50" i="53"/>
  <c r="G50" i="53" s="1"/>
  <c r="H50" i="53" s="1"/>
  <c r="I50" i="53" s="1"/>
  <c r="F52" i="53"/>
  <c r="G52" i="53"/>
  <c r="H52" i="53" s="1"/>
  <c r="I52" i="53" s="1"/>
  <c r="I6" i="53"/>
  <c r="I5" i="54"/>
  <c r="E93" i="54" s="1"/>
  <c r="F5" i="54"/>
  <c r="D93" i="54" s="1"/>
  <c r="D41" i="54"/>
  <c r="E94" i="54" s="1"/>
  <c r="F9" i="54"/>
  <c r="F7" i="54"/>
  <c r="F6" i="54"/>
  <c r="D42" i="54"/>
  <c r="E95" i="54" s="1"/>
  <c r="C42" i="54"/>
  <c r="D43" i="54"/>
  <c r="E96" i="54" s="1"/>
  <c r="C43" i="54"/>
  <c r="D96" i="54" s="1"/>
  <c r="D45" i="54"/>
  <c r="F97" i="54" s="1"/>
  <c r="D46" i="54"/>
  <c r="E98" i="54" s="1"/>
  <c r="C44" i="54"/>
  <c r="D99" i="54" s="1"/>
  <c r="D44" i="54"/>
  <c r="E99" i="54" s="1"/>
  <c r="D47" i="54"/>
  <c r="F100" i="54" s="1"/>
  <c r="D48" i="54"/>
  <c r="F101" i="54" s="1"/>
  <c r="C22" i="54"/>
  <c r="C23" i="54"/>
  <c r="C24" i="54"/>
  <c r="C28" i="54"/>
  <c r="D50" i="54"/>
  <c r="E106" i="54" s="1"/>
  <c r="C50" i="54"/>
  <c r="D106" i="54" s="1"/>
  <c r="C51" i="54"/>
  <c r="D107" i="54" s="1"/>
  <c r="D51" i="54"/>
  <c r="E107" i="54" s="1"/>
  <c r="D52" i="54"/>
  <c r="E108" i="54" s="1"/>
  <c r="C52" i="54"/>
  <c r="D108" i="54" s="1"/>
  <c r="C53" i="54"/>
  <c r="D109" i="54" s="1"/>
  <c r="D53" i="54"/>
  <c r="E109" i="54" s="1"/>
  <c r="D54" i="54"/>
  <c r="E110" i="54" s="1"/>
  <c r="C54" i="54"/>
  <c r="D110" i="54" s="1"/>
  <c r="I7" i="54"/>
  <c r="E86" i="54" s="1"/>
  <c r="F10" i="54"/>
  <c r="F13" i="54"/>
  <c r="I8" i="54"/>
  <c r="E87" i="54" s="1"/>
  <c r="F14" i="54"/>
  <c r="I9" i="54"/>
  <c r="E88" i="54" s="1"/>
  <c r="F15" i="54"/>
  <c r="I5" i="55"/>
  <c r="E93" i="55" s="1"/>
  <c r="F5" i="55"/>
  <c r="D93" i="55" s="1"/>
  <c r="D41" i="55"/>
  <c r="E94" i="55" s="1"/>
  <c r="F9" i="55"/>
  <c r="F7" i="55"/>
  <c r="F6" i="55"/>
  <c r="D42" i="55"/>
  <c r="E95" i="55" s="1"/>
  <c r="C42" i="55"/>
  <c r="D95" i="55" s="1"/>
  <c r="D43" i="55"/>
  <c r="E96" i="55" s="1"/>
  <c r="C43" i="55"/>
  <c r="D96" i="55" s="1"/>
  <c r="D45" i="55"/>
  <c r="D46" i="55"/>
  <c r="E98" i="55" s="1"/>
  <c r="C44" i="55"/>
  <c r="D99" i="55" s="1"/>
  <c r="D44" i="55"/>
  <c r="D47" i="55"/>
  <c r="F100" i="55" s="1"/>
  <c r="D48" i="55"/>
  <c r="F101" i="55" s="1"/>
  <c r="C22" i="55"/>
  <c r="C23" i="55"/>
  <c r="C24" i="55"/>
  <c r="C28" i="55"/>
  <c r="D50" i="55"/>
  <c r="E106" i="55" s="1"/>
  <c r="C50" i="55"/>
  <c r="D106" i="55" s="1"/>
  <c r="C51" i="55"/>
  <c r="D107" i="55" s="1"/>
  <c r="D51" i="55"/>
  <c r="E107" i="55" s="1"/>
  <c r="D52" i="55"/>
  <c r="E108" i="55" s="1"/>
  <c r="C52" i="55"/>
  <c r="D108" i="55" s="1"/>
  <c r="C53" i="55"/>
  <c r="D109" i="55" s="1"/>
  <c r="D53" i="55"/>
  <c r="E109" i="55" s="1"/>
  <c r="D54" i="55"/>
  <c r="E110" i="55" s="1"/>
  <c r="C54" i="55"/>
  <c r="D110" i="55" s="1"/>
  <c r="I7" i="55"/>
  <c r="E86" i="55" s="1"/>
  <c r="F10" i="55"/>
  <c r="F11" i="55" s="1"/>
  <c r="F13" i="55"/>
  <c r="I8" i="55"/>
  <c r="E87" i="55" s="1"/>
  <c r="F14" i="55"/>
  <c r="I9" i="55"/>
  <c r="E88" i="55" s="1"/>
  <c r="F15" i="55"/>
  <c r="C27" i="54"/>
  <c r="C26" i="54"/>
  <c r="C25" i="54"/>
  <c r="C61" i="54"/>
  <c r="F50" i="54"/>
  <c r="F52" i="54"/>
  <c r="G52" i="54" s="1"/>
  <c r="H52" i="54" s="1"/>
  <c r="I52" i="54" s="1"/>
  <c r="G50" i="54"/>
  <c r="H50" i="54"/>
  <c r="I50" i="54"/>
  <c r="I6" i="54"/>
  <c r="C27" i="55"/>
  <c r="C26" i="55"/>
  <c r="C25" i="55"/>
  <c r="C61" i="55"/>
  <c r="F50" i="55"/>
  <c r="G50" i="55" s="1"/>
  <c r="H50" i="55" s="1"/>
  <c r="I50" i="55" s="1"/>
  <c r="F52" i="55"/>
  <c r="G52" i="55" s="1"/>
  <c r="H52" i="55" s="1"/>
  <c r="I52" i="55" s="1"/>
  <c r="I6" i="55"/>
  <c r="I5" i="56"/>
  <c r="E93" i="56" s="1"/>
  <c r="F5" i="56"/>
  <c r="D41" i="56"/>
  <c r="E94" i="56" s="1"/>
  <c r="F9" i="56"/>
  <c r="F7" i="56"/>
  <c r="F6" i="56"/>
  <c r="D42" i="56"/>
  <c r="E95" i="56" s="1"/>
  <c r="C42" i="56"/>
  <c r="D95" i="56" s="1"/>
  <c r="D43" i="56"/>
  <c r="E96" i="56" s="1"/>
  <c r="F96" i="56" s="1"/>
  <c r="C43" i="56"/>
  <c r="D96" i="56" s="1"/>
  <c r="D45" i="56"/>
  <c r="F97" i="56" s="1"/>
  <c r="D46" i="56"/>
  <c r="E98" i="56" s="1"/>
  <c r="C44" i="56"/>
  <c r="D44" i="56"/>
  <c r="E99" i="56" s="1"/>
  <c r="D47" i="56"/>
  <c r="F100" i="56" s="1"/>
  <c r="D48" i="56"/>
  <c r="F101" i="56" s="1"/>
  <c r="C22" i="56"/>
  <c r="C23" i="56"/>
  <c r="C24" i="56"/>
  <c r="C28" i="56"/>
  <c r="D50" i="56"/>
  <c r="E106" i="56" s="1"/>
  <c r="C50" i="56"/>
  <c r="D106" i="56" s="1"/>
  <c r="C51" i="56"/>
  <c r="D107" i="56" s="1"/>
  <c r="D51" i="56"/>
  <c r="E107" i="56" s="1"/>
  <c r="D52" i="56"/>
  <c r="E108" i="56" s="1"/>
  <c r="C52" i="56"/>
  <c r="D108" i="56" s="1"/>
  <c r="C53" i="56"/>
  <c r="D109" i="56" s="1"/>
  <c r="D53" i="56"/>
  <c r="E109" i="56" s="1"/>
  <c r="D54" i="56"/>
  <c r="E110" i="56" s="1"/>
  <c r="C54" i="56"/>
  <c r="D110" i="56" s="1"/>
  <c r="F10" i="56"/>
  <c r="I7" i="56"/>
  <c r="E86" i="56" s="1"/>
  <c r="I8" i="56"/>
  <c r="E87" i="56" s="1"/>
  <c r="F14" i="56"/>
  <c r="I9" i="56"/>
  <c r="E88" i="56" s="1"/>
  <c r="F15" i="56"/>
  <c r="C27" i="56"/>
  <c r="C26" i="56"/>
  <c r="C25" i="56"/>
  <c r="C61" i="56"/>
  <c r="F50" i="56"/>
  <c r="G50" i="56" s="1"/>
  <c r="H50" i="56" s="1"/>
  <c r="I50" i="56" s="1"/>
  <c r="F52" i="56"/>
  <c r="G52" i="56"/>
  <c r="H52" i="56"/>
  <c r="I52" i="56"/>
  <c r="I6" i="56"/>
  <c r="I5" i="57"/>
  <c r="D40" i="57" s="1"/>
  <c r="F5" i="57"/>
  <c r="D41" i="57"/>
  <c r="E94" i="57" s="1"/>
  <c r="F9" i="57"/>
  <c r="F7" i="57"/>
  <c r="F6" i="57"/>
  <c r="D42" i="57"/>
  <c r="E95" i="57" s="1"/>
  <c r="C42" i="57"/>
  <c r="D43" i="57"/>
  <c r="C43" i="57"/>
  <c r="D96" i="57" s="1"/>
  <c r="D45" i="57"/>
  <c r="E45" i="57" s="1"/>
  <c r="F45" i="57" s="1"/>
  <c r="G45" i="57" s="1"/>
  <c r="H45" i="57" s="1"/>
  <c r="I45" i="57" s="1"/>
  <c r="D46" i="57"/>
  <c r="E98" i="57" s="1"/>
  <c r="C44" i="57"/>
  <c r="D99" i="57" s="1"/>
  <c r="D44" i="57"/>
  <c r="E99" i="57" s="1"/>
  <c r="D47" i="57"/>
  <c r="F100" i="57" s="1"/>
  <c r="D48" i="57"/>
  <c r="E48" i="57" s="1"/>
  <c r="F48" i="57" s="1"/>
  <c r="G48" i="57" s="1"/>
  <c r="H48" i="57" s="1"/>
  <c r="I48" i="57" s="1"/>
  <c r="C22" i="57"/>
  <c r="C23" i="57"/>
  <c r="C24" i="57"/>
  <c r="C28" i="57"/>
  <c r="D50" i="57"/>
  <c r="E106" i="57" s="1"/>
  <c r="C50" i="57"/>
  <c r="D106" i="57" s="1"/>
  <c r="C51" i="57"/>
  <c r="D107" i="57" s="1"/>
  <c r="D51" i="57"/>
  <c r="E107" i="57" s="1"/>
  <c r="D52" i="57"/>
  <c r="E108" i="57" s="1"/>
  <c r="C52" i="57"/>
  <c r="D108" i="57" s="1"/>
  <c r="C53" i="57"/>
  <c r="D109" i="57" s="1"/>
  <c r="D53" i="57"/>
  <c r="E109" i="57" s="1"/>
  <c r="D54" i="57"/>
  <c r="E110" i="57" s="1"/>
  <c r="C54" i="57"/>
  <c r="D110" i="57" s="1"/>
  <c r="F10" i="57"/>
  <c r="I7" i="57"/>
  <c r="E86" i="57" s="1"/>
  <c r="I8" i="57"/>
  <c r="E87" i="57" s="1"/>
  <c r="F14" i="57"/>
  <c r="I9" i="57"/>
  <c r="E88" i="57" s="1"/>
  <c r="F15" i="57"/>
  <c r="C27" i="57"/>
  <c r="C26" i="57"/>
  <c r="C25" i="57"/>
  <c r="C61" i="57"/>
  <c r="F50" i="57"/>
  <c r="F52" i="57"/>
  <c r="G52" i="57" s="1"/>
  <c r="H52" i="57" s="1"/>
  <c r="G50" i="57"/>
  <c r="H50" i="57"/>
  <c r="I50" i="57"/>
  <c r="I52" i="57"/>
  <c r="I6" i="57"/>
  <c r="I5" i="59"/>
  <c r="E93" i="59" s="1"/>
  <c r="F5" i="59"/>
  <c r="D41" i="59"/>
  <c r="E94" i="59" s="1"/>
  <c r="F9" i="59"/>
  <c r="F7" i="59"/>
  <c r="F6" i="59"/>
  <c r="D42" i="59"/>
  <c r="E95" i="59" s="1"/>
  <c r="C42" i="59"/>
  <c r="D95" i="59" s="1"/>
  <c r="D43" i="59"/>
  <c r="E96" i="59" s="1"/>
  <c r="C43" i="59"/>
  <c r="D45" i="59"/>
  <c r="F97" i="59" s="1"/>
  <c r="D46" i="59"/>
  <c r="E98" i="59" s="1"/>
  <c r="C44" i="59"/>
  <c r="D99" i="59" s="1"/>
  <c r="D44" i="59"/>
  <c r="E99" i="59" s="1"/>
  <c r="D47" i="59"/>
  <c r="F100" i="59" s="1"/>
  <c r="D48" i="59"/>
  <c r="F101" i="59" s="1"/>
  <c r="C22" i="59"/>
  <c r="C73" i="59" s="1"/>
  <c r="C23" i="59"/>
  <c r="C74" i="59" s="1"/>
  <c r="C24" i="59"/>
  <c r="C75" i="59" s="1"/>
  <c r="E75" i="59" s="1"/>
  <c r="F75" i="59" s="1"/>
  <c r="G75" i="59" s="1"/>
  <c r="H75" i="59" s="1"/>
  <c r="I75" i="59" s="1"/>
  <c r="E78" i="59"/>
  <c r="C28" i="59"/>
  <c r="C79" i="59" s="1"/>
  <c r="E79" i="59" s="1"/>
  <c r="F79" i="59" s="1"/>
  <c r="G79" i="59" s="1"/>
  <c r="H79" i="59" s="1"/>
  <c r="I79" i="59" s="1"/>
  <c r="F78" i="59"/>
  <c r="I77" i="59"/>
  <c r="D50" i="59"/>
  <c r="E106" i="59" s="1"/>
  <c r="C50" i="59"/>
  <c r="D106" i="59" s="1"/>
  <c r="C51" i="59"/>
  <c r="D107" i="59" s="1"/>
  <c r="D51" i="59"/>
  <c r="E107" i="59" s="1"/>
  <c r="D52" i="59"/>
  <c r="E108" i="59" s="1"/>
  <c r="C52" i="59"/>
  <c r="D108" i="59" s="1"/>
  <c r="C53" i="59"/>
  <c r="D109" i="59" s="1"/>
  <c r="D53" i="59"/>
  <c r="E109" i="59" s="1"/>
  <c r="D54" i="59"/>
  <c r="E110" i="59"/>
  <c r="C54" i="59"/>
  <c r="D110" i="59" s="1"/>
  <c r="I5" i="58"/>
  <c r="D40" i="58" s="1"/>
  <c r="F5" i="58"/>
  <c r="D41" i="58"/>
  <c r="E94" i="58" s="1"/>
  <c r="F9" i="58"/>
  <c r="F7" i="58"/>
  <c r="F6" i="58"/>
  <c r="D42" i="58"/>
  <c r="E95" i="58" s="1"/>
  <c r="C42" i="58"/>
  <c r="D95" i="58" s="1"/>
  <c r="D43" i="58"/>
  <c r="E96" i="58" s="1"/>
  <c r="C43" i="58"/>
  <c r="D96" i="58" s="1"/>
  <c r="D45" i="58"/>
  <c r="E45" i="58" s="1"/>
  <c r="F45" i="58" s="1"/>
  <c r="G45" i="58" s="1"/>
  <c r="H45" i="58" s="1"/>
  <c r="I45" i="58" s="1"/>
  <c r="F97" i="58"/>
  <c r="D46" i="58"/>
  <c r="E98" i="58" s="1"/>
  <c r="C44" i="58"/>
  <c r="D99" i="58" s="1"/>
  <c r="D44" i="58"/>
  <c r="E99" i="58" s="1"/>
  <c r="D47" i="58"/>
  <c r="F100" i="58" s="1"/>
  <c r="D48" i="58"/>
  <c r="F101" i="58" s="1"/>
  <c r="C22" i="58"/>
  <c r="C73" i="58"/>
  <c r="C23" i="58"/>
  <c r="C74" i="58" s="1"/>
  <c r="C24" i="58"/>
  <c r="C75" i="58" s="1"/>
  <c r="E75" i="58" s="1"/>
  <c r="F75" i="58" s="1"/>
  <c r="G75" i="58" s="1"/>
  <c r="H75" i="58" s="1"/>
  <c r="I75" i="58" s="1"/>
  <c r="E78" i="58"/>
  <c r="C28" i="58"/>
  <c r="C79" i="58" s="1"/>
  <c r="E79" i="58" s="1"/>
  <c r="F79" i="58" s="1"/>
  <c r="G79" i="58" s="1"/>
  <c r="H79" i="58" s="1"/>
  <c r="I79" i="58" s="1"/>
  <c r="F78" i="58"/>
  <c r="I78" i="58"/>
  <c r="D50" i="58"/>
  <c r="E106" i="58" s="1"/>
  <c r="C50" i="58"/>
  <c r="D106" i="58" s="1"/>
  <c r="C51" i="58"/>
  <c r="D107" i="58" s="1"/>
  <c r="D51" i="58"/>
  <c r="E107" i="58" s="1"/>
  <c r="D52" i="58"/>
  <c r="E108" i="58" s="1"/>
  <c r="C52" i="58"/>
  <c r="D108" i="58" s="1"/>
  <c r="C53" i="58"/>
  <c r="D109" i="58" s="1"/>
  <c r="D53" i="58"/>
  <c r="E109" i="58" s="1"/>
  <c r="F109" i="58" s="1"/>
  <c r="D54" i="58"/>
  <c r="E110" i="58" s="1"/>
  <c r="C54" i="58"/>
  <c r="D110" i="58" s="1"/>
  <c r="I7" i="58"/>
  <c r="E86" i="58" s="1"/>
  <c r="F13" i="58"/>
  <c r="F10" i="58"/>
  <c r="I8" i="58"/>
  <c r="E87" i="58" s="1"/>
  <c r="F14" i="58"/>
  <c r="I9" i="58"/>
  <c r="E88" i="58" s="1"/>
  <c r="F15" i="58"/>
  <c r="I7" i="59"/>
  <c r="E86" i="59" s="1"/>
  <c r="F13" i="59"/>
  <c r="F10" i="59"/>
  <c r="I8" i="59"/>
  <c r="E87" i="59" s="1"/>
  <c r="F14" i="59"/>
  <c r="I9" i="59"/>
  <c r="E88" i="59" s="1"/>
  <c r="F15" i="59"/>
  <c r="C27" i="58"/>
  <c r="C78" i="58" s="1"/>
  <c r="C26" i="58"/>
  <c r="C77" i="58" s="1"/>
  <c r="C25" i="58"/>
  <c r="C76" i="58" s="1"/>
  <c r="C61" i="58"/>
  <c r="F50" i="58"/>
  <c r="F52" i="58"/>
  <c r="G52" i="58" s="1"/>
  <c r="G50" i="58"/>
  <c r="H50" i="58" s="1"/>
  <c r="I50" i="58" s="1"/>
  <c r="H52" i="58"/>
  <c r="I52" i="58" s="1"/>
  <c r="I6" i="58"/>
  <c r="C27" i="59"/>
  <c r="C78" i="59" s="1"/>
  <c r="C26" i="59"/>
  <c r="C77" i="59" s="1"/>
  <c r="C25" i="59"/>
  <c r="C76" i="59" s="1"/>
  <c r="C61" i="59"/>
  <c r="E45" i="59"/>
  <c r="F45" i="59" s="1"/>
  <c r="G45" i="59" s="1"/>
  <c r="H45" i="59" s="1"/>
  <c r="I45" i="59" s="1"/>
  <c r="F50" i="59"/>
  <c r="G50" i="59" s="1"/>
  <c r="H50" i="59" s="1"/>
  <c r="I50" i="59" s="1"/>
  <c r="F52" i="59"/>
  <c r="G52" i="59"/>
  <c r="H52" i="59" s="1"/>
  <c r="I52" i="59" s="1"/>
  <c r="I6" i="59"/>
  <c r="C87" i="1"/>
  <c r="D88" i="1"/>
  <c r="C88" i="1"/>
  <c r="E88" i="1" s="1"/>
  <c r="D89" i="1"/>
  <c r="C89" i="1"/>
  <c r="D90" i="1"/>
  <c r="E90" i="1" s="1"/>
  <c r="C90" i="1"/>
  <c r="E91" i="1"/>
  <c r="D92" i="1"/>
  <c r="B40" i="1"/>
  <c r="C92" i="1" s="1"/>
  <c r="C93" i="1"/>
  <c r="D93" i="1"/>
  <c r="E94" i="1"/>
  <c r="E95" i="1"/>
  <c r="D99" i="1"/>
  <c r="C99" i="1"/>
  <c r="C100" i="1"/>
  <c r="D100" i="1"/>
  <c r="D101" i="1"/>
  <c r="E101" i="1" s="1"/>
  <c r="C101" i="1"/>
  <c r="C102" i="1"/>
  <c r="E102" i="1" s="1"/>
  <c r="D102" i="1"/>
  <c r="D103" i="1"/>
  <c r="C103" i="1"/>
  <c r="D82" i="1"/>
  <c r="D83" i="1"/>
  <c r="D84" i="1"/>
  <c r="I7" i="60"/>
  <c r="E86" i="60"/>
  <c r="F13" i="60"/>
  <c r="F5" i="60"/>
  <c r="D93" i="60" s="1"/>
  <c r="F9" i="60"/>
  <c r="F10" i="60"/>
  <c r="I8" i="60"/>
  <c r="E87" i="60" s="1"/>
  <c r="F14" i="60"/>
  <c r="I9" i="60"/>
  <c r="E88" i="60"/>
  <c r="F15" i="60"/>
  <c r="I5" i="60"/>
  <c r="E93" i="60" s="1"/>
  <c r="F93" i="60" s="1"/>
  <c r="D41" i="60"/>
  <c r="E94" i="60" s="1"/>
  <c r="F7" i="60"/>
  <c r="F6" i="60"/>
  <c r="D42" i="60"/>
  <c r="E95" i="60" s="1"/>
  <c r="C42" i="60"/>
  <c r="D43" i="60"/>
  <c r="E96" i="60" s="1"/>
  <c r="C43" i="60"/>
  <c r="D45" i="60"/>
  <c r="F97" i="60" s="1"/>
  <c r="D46" i="60"/>
  <c r="E98" i="60" s="1"/>
  <c r="C44" i="60"/>
  <c r="D99" i="60" s="1"/>
  <c r="D44" i="60"/>
  <c r="E99" i="60" s="1"/>
  <c r="D47" i="60"/>
  <c r="E47" i="60" s="1"/>
  <c r="F47" i="60" s="1"/>
  <c r="G47" i="60" s="1"/>
  <c r="H47" i="60" s="1"/>
  <c r="I47" i="60" s="1"/>
  <c r="D48" i="60"/>
  <c r="F101" i="60" s="1"/>
  <c r="C22" i="60"/>
  <c r="C73" i="60" s="1"/>
  <c r="C23" i="60"/>
  <c r="C74" i="60" s="1"/>
  <c r="C24" i="60"/>
  <c r="C75" i="60" s="1"/>
  <c r="E75" i="60" s="1"/>
  <c r="F75" i="60" s="1"/>
  <c r="G75" i="60" s="1"/>
  <c r="H75" i="60" s="1"/>
  <c r="I75" i="60" s="1"/>
  <c r="E78" i="60"/>
  <c r="C28" i="60"/>
  <c r="C79" i="60" s="1"/>
  <c r="E79" i="60" s="1"/>
  <c r="F79" i="60" s="1"/>
  <c r="G79" i="60" s="1"/>
  <c r="H79" i="60" s="1"/>
  <c r="I79" i="60" s="1"/>
  <c r="F78" i="60"/>
  <c r="D50" i="60"/>
  <c r="E106" i="60" s="1"/>
  <c r="C50" i="60"/>
  <c r="D106" i="60" s="1"/>
  <c r="C51" i="60"/>
  <c r="D107" i="60" s="1"/>
  <c r="D51" i="60"/>
  <c r="E107" i="60" s="1"/>
  <c r="D52" i="60"/>
  <c r="E108" i="60" s="1"/>
  <c r="C52" i="60"/>
  <c r="D108" i="60" s="1"/>
  <c r="C53" i="60"/>
  <c r="D109" i="60" s="1"/>
  <c r="D53" i="60"/>
  <c r="E109" i="60" s="1"/>
  <c r="D54" i="60"/>
  <c r="E110" i="60" s="1"/>
  <c r="C54" i="60"/>
  <c r="D110" i="60" s="1"/>
  <c r="I6" i="61"/>
  <c r="E94" i="61" s="1"/>
  <c r="F6" i="61"/>
  <c r="D94" i="61" s="1"/>
  <c r="D42" i="61"/>
  <c r="E95" i="61" s="1"/>
  <c r="F10" i="61"/>
  <c r="F8" i="61"/>
  <c r="F7" i="61"/>
  <c r="D43" i="61"/>
  <c r="E96" i="61" s="1"/>
  <c r="C43" i="61"/>
  <c r="D96" i="61" s="1"/>
  <c r="D44" i="61"/>
  <c r="E97" i="61" s="1"/>
  <c r="C44" i="61"/>
  <c r="D97" i="61" s="1"/>
  <c r="D46" i="61"/>
  <c r="F98" i="61" s="1"/>
  <c r="D47" i="61"/>
  <c r="E99" i="61" s="1"/>
  <c r="C45" i="61"/>
  <c r="D100" i="61" s="1"/>
  <c r="D45" i="61"/>
  <c r="E100" i="61" s="1"/>
  <c r="D48" i="61"/>
  <c r="F101" i="61" s="1"/>
  <c r="D49" i="61"/>
  <c r="F102" i="61" s="1"/>
  <c r="E75" i="61"/>
  <c r="E76" i="61"/>
  <c r="E79" i="61"/>
  <c r="F79" i="61"/>
  <c r="D51" i="61"/>
  <c r="E107" i="61" s="1"/>
  <c r="C51" i="61"/>
  <c r="D107" i="61" s="1"/>
  <c r="C52" i="61"/>
  <c r="D108" i="61" s="1"/>
  <c r="D52" i="61"/>
  <c r="E108" i="61" s="1"/>
  <c r="D53" i="61"/>
  <c r="E109" i="61" s="1"/>
  <c r="C53" i="61"/>
  <c r="D109" i="61" s="1"/>
  <c r="C54" i="61"/>
  <c r="D110" i="61" s="1"/>
  <c r="D54" i="61"/>
  <c r="E110" i="61" s="1"/>
  <c r="D55" i="61"/>
  <c r="E111" i="61" s="1"/>
  <c r="C55" i="61"/>
  <c r="D111" i="61" s="1"/>
  <c r="I8" i="61"/>
  <c r="E87" i="61" s="1"/>
  <c r="F11" i="61"/>
  <c r="I9" i="61"/>
  <c r="E88" i="61" s="1"/>
  <c r="I10" i="61"/>
  <c r="E89" i="61" s="1"/>
  <c r="C61" i="60"/>
  <c r="C25" i="60"/>
  <c r="C76" i="60" s="1"/>
  <c r="C26" i="60"/>
  <c r="C77" i="60" s="1"/>
  <c r="C27" i="60"/>
  <c r="C78" i="60" s="1"/>
  <c r="I6" i="60"/>
  <c r="C40" i="60"/>
  <c r="F50" i="60"/>
  <c r="G50" i="60" s="1"/>
  <c r="F52" i="60"/>
  <c r="G52" i="60" s="1"/>
  <c r="H52" i="60" s="1"/>
  <c r="I52" i="60" s="1"/>
  <c r="H50" i="60"/>
  <c r="I50" i="60"/>
  <c r="C62" i="61"/>
  <c r="C23" i="61"/>
  <c r="C24" i="61"/>
  <c r="C25" i="61"/>
  <c r="C26" i="61"/>
  <c r="C77" i="61" s="1"/>
  <c r="C27" i="61"/>
  <c r="C78" i="61" s="1"/>
  <c r="C28" i="61"/>
  <c r="C79" i="61" s="1"/>
  <c r="C29" i="61"/>
  <c r="C80" i="61" s="1"/>
  <c r="I7" i="61"/>
  <c r="C74" i="61"/>
  <c r="C75" i="61"/>
  <c r="C76" i="61"/>
  <c r="C41" i="61"/>
  <c r="F51" i="61"/>
  <c r="G51" i="61" s="1"/>
  <c r="F53" i="61"/>
  <c r="G53" i="61"/>
  <c r="H53" i="61" s="1"/>
  <c r="H51" i="61"/>
  <c r="I51" i="61" s="1"/>
  <c r="I53" i="61"/>
  <c r="C34" i="1"/>
  <c r="B34" i="1"/>
  <c r="D36" i="1"/>
  <c r="E36" i="1" s="1"/>
  <c r="F36" i="1" s="1"/>
  <c r="G36" i="1" s="1"/>
  <c r="H36" i="1" s="1"/>
  <c r="D37" i="1"/>
  <c r="E37" i="1" s="1"/>
  <c r="F37" i="1" s="1"/>
  <c r="G37" i="1" s="1"/>
  <c r="H37" i="1" s="1"/>
  <c r="D38" i="1"/>
  <c r="E38" i="1" s="1"/>
  <c r="F38" i="1" s="1"/>
  <c r="G38" i="1" s="1"/>
  <c r="H38" i="1" s="1"/>
  <c r="D39" i="1"/>
  <c r="D41" i="1"/>
  <c r="D42" i="1"/>
  <c r="E42" i="1" s="1"/>
  <c r="F42" i="1" s="1"/>
  <c r="G42" i="1" s="1"/>
  <c r="H42" i="1" s="1"/>
  <c r="E39" i="1"/>
  <c r="F39" i="1" s="1"/>
  <c r="G39" i="1" s="1"/>
  <c r="H39" i="1" s="1"/>
  <c r="E41" i="1"/>
  <c r="F41" i="1" s="1"/>
  <c r="G41" i="1" s="1"/>
  <c r="H41" i="1" s="1"/>
  <c r="E44" i="1"/>
  <c r="F44" i="1" s="1"/>
  <c r="G44" i="1" s="1"/>
  <c r="H44" i="1" s="1"/>
  <c r="E46" i="1"/>
  <c r="F46" i="1"/>
  <c r="G46" i="1" s="1"/>
  <c r="H46" i="1" s="1"/>
  <c r="F8" i="63"/>
  <c r="A5" i="63"/>
  <c r="A6" i="63"/>
  <c r="B6" i="63"/>
  <c r="C6" i="63"/>
  <c r="D6" i="63"/>
  <c r="E6" i="63"/>
  <c r="F6" i="63"/>
  <c r="G6" i="63"/>
  <c r="U128" i="1"/>
  <c r="A7" i="63" s="1"/>
  <c r="B7" i="63"/>
  <c r="C7" i="63"/>
  <c r="D7" i="63"/>
  <c r="E7" i="63"/>
  <c r="F7" i="63"/>
  <c r="G7" i="63"/>
  <c r="U129" i="1"/>
  <c r="A8" i="63" s="1"/>
  <c r="B8" i="63"/>
  <c r="C8" i="63"/>
  <c r="D8" i="63"/>
  <c r="E8" i="63"/>
  <c r="G8" i="63"/>
  <c r="A9" i="63"/>
  <c r="B9" i="63"/>
  <c r="D9" i="63"/>
  <c r="E9" i="63"/>
  <c r="F9" i="63"/>
  <c r="G9" i="63"/>
  <c r="A10" i="63"/>
  <c r="B10" i="63"/>
  <c r="C10" i="63"/>
  <c r="D10" i="63"/>
  <c r="E10" i="63"/>
  <c r="F10" i="63"/>
  <c r="G10" i="63"/>
  <c r="A11" i="63"/>
  <c r="B11" i="63"/>
  <c r="C11" i="63"/>
  <c r="D11" i="63"/>
  <c r="E11" i="63"/>
  <c r="F11" i="63"/>
  <c r="G11" i="63"/>
  <c r="A12" i="63"/>
  <c r="B12" i="63"/>
  <c r="C12" i="63"/>
  <c r="D12" i="63"/>
  <c r="E12" i="63"/>
  <c r="F12" i="63"/>
  <c r="G12" i="63"/>
  <c r="A13" i="63"/>
  <c r="B13" i="63"/>
  <c r="C13" i="63"/>
  <c r="D13" i="63"/>
  <c r="E13" i="63"/>
  <c r="F13" i="63"/>
  <c r="G13" i="63"/>
  <c r="A14" i="63"/>
  <c r="B14" i="63"/>
  <c r="C14" i="63"/>
  <c r="D14" i="63"/>
  <c r="E14" i="63"/>
  <c r="F14" i="63"/>
  <c r="G14" i="63"/>
  <c r="A15" i="63"/>
  <c r="B15" i="63"/>
  <c r="C15" i="63"/>
  <c r="D15" i="63"/>
  <c r="E15" i="63"/>
  <c r="F15" i="63"/>
  <c r="G15" i="63"/>
  <c r="A16" i="63"/>
  <c r="B16" i="63"/>
  <c r="C16" i="63"/>
  <c r="D16" i="63"/>
  <c r="E16" i="63"/>
  <c r="F16" i="63"/>
  <c r="G16" i="63"/>
  <c r="A17" i="63"/>
  <c r="B17" i="63"/>
  <c r="C17" i="63"/>
  <c r="D17" i="63"/>
  <c r="E17" i="63"/>
  <c r="F17" i="63"/>
  <c r="G17" i="63"/>
  <c r="A18" i="63"/>
  <c r="B18" i="63"/>
  <c r="C18" i="63"/>
  <c r="D18" i="63"/>
  <c r="E18" i="63"/>
  <c r="F18" i="63"/>
  <c r="G18" i="63"/>
  <c r="A19" i="63"/>
  <c r="B19" i="63"/>
  <c r="C19" i="63"/>
  <c r="D19" i="63"/>
  <c r="E19" i="63"/>
  <c r="F19" i="63"/>
  <c r="G19" i="63"/>
  <c r="A25" i="63"/>
  <c r="B25" i="63"/>
  <c r="C25" i="63"/>
  <c r="D25" i="63"/>
  <c r="E25" i="63"/>
  <c r="F25" i="63"/>
  <c r="G25" i="63"/>
  <c r="A26" i="63"/>
  <c r="B26" i="63"/>
  <c r="C26" i="63"/>
  <c r="D26" i="63"/>
  <c r="E26" i="63"/>
  <c r="F26" i="63"/>
  <c r="G26" i="63"/>
  <c r="A27" i="63"/>
  <c r="B27" i="63"/>
  <c r="C27" i="63"/>
  <c r="D27" i="63"/>
  <c r="E27" i="63"/>
  <c r="F27" i="63"/>
  <c r="G27" i="63"/>
  <c r="A28" i="63"/>
  <c r="B28" i="63"/>
  <c r="C28" i="63"/>
  <c r="D28" i="63"/>
  <c r="E28" i="63"/>
  <c r="F28" i="63"/>
  <c r="G28" i="63"/>
  <c r="A29" i="63"/>
  <c r="B29" i="63"/>
  <c r="C29" i="63"/>
  <c r="D29" i="63"/>
  <c r="E29" i="63"/>
  <c r="F29" i="63"/>
  <c r="G29" i="63"/>
  <c r="A30" i="63"/>
  <c r="B30" i="63"/>
  <c r="C30" i="63"/>
  <c r="D30" i="63"/>
  <c r="E30" i="63"/>
  <c r="F30" i="63"/>
  <c r="G30" i="63"/>
  <c r="A31" i="63"/>
  <c r="B31" i="63"/>
  <c r="C31" i="63"/>
  <c r="D31" i="63"/>
  <c r="E31" i="63"/>
  <c r="F31" i="63"/>
  <c r="G31" i="63"/>
  <c r="A32" i="63"/>
  <c r="B32" i="63"/>
  <c r="C32" i="63"/>
  <c r="D32" i="63"/>
  <c r="E32" i="63"/>
  <c r="F32" i="63"/>
  <c r="G32" i="63"/>
  <c r="A33" i="63"/>
  <c r="B33" i="63"/>
  <c r="C33" i="63"/>
  <c r="D33" i="63"/>
  <c r="E33" i="63"/>
  <c r="F33" i="63"/>
  <c r="G33" i="63"/>
  <c r="A34" i="63"/>
  <c r="B34" i="63"/>
  <c r="C34" i="63"/>
  <c r="D34" i="63"/>
  <c r="E34" i="63"/>
  <c r="F34" i="63"/>
  <c r="G34" i="63"/>
  <c r="A35" i="63"/>
  <c r="B35" i="63"/>
  <c r="C35" i="63"/>
  <c r="D35" i="63"/>
  <c r="E35" i="63"/>
  <c r="F35" i="63"/>
  <c r="G35" i="63"/>
  <c r="A36" i="63"/>
  <c r="B36" i="63"/>
  <c r="C36" i="63"/>
  <c r="D36" i="63"/>
  <c r="E36" i="63"/>
  <c r="F36" i="63"/>
  <c r="G36" i="63"/>
  <c r="A37" i="63"/>
  <c r="B37" i="63"/>
  <c r="C37" i="63"/>
  <c r="D37" i="63"/>
  <c r="E37" i="63"/>
  <c r="F37" i="63"/>
  <c r="G37" i="63"/>
  <c r="A38" i="63"/>
  <c r="B38" i="63"/>
  <c r="C38" i="63"/>
  <c r="D38" i="63"/>
  <c r="E38" i="63"/>
  <c r="F38" i="63"/>
  <c r="G38" i="63"/>
  <c r="A39" i="63"/>
  <c r="B39" i="63"/>
  <c r="C39" i="63"/>
  <c r="D39" i="63"/>
  <c r="E39" i="63"/>
  <c r="F39" i="63"/>
  <c r="G39" i="63"/>
  <c r="D7" i="8"/>
  <c r="B6" i="8"/>
  <c r="C6" i="8"/>
  <c r="D6" i="8"/>
  <c r="E6" i="8"/>
  <c r="F6" i="8"/>
  <c r="G6" i="8"/>
  <c r="B7" i="8"/>
  <c r="C7" i="8"/>
  <c r="E7" i="8"/>
  <c r="F7" i="8"/>
  <c r="G7" i="8"/>
  <c r="B8" i="8"/>
  <c r="C8" i="8"/>
  <c r="D8" i="8"/>
  <c r="E8" i="8"/>
  <c r="F8" i="8"/>
  <c r="G8" i="8"/>
  <c r="B9" i="8"/>
  <c r="C9" i="8"/>
  <c r="D9" i="8"/>
  <c r="E9" i="8"/>
  <c r="F9" i="8"/>
  <c r="G9" i="8"/>
  <c r="B10" i="8"/>
  <c r="C10" i="8"/>
  <c r="D10" i="8"/>
  <c r="E10" i="8"/>
  <c r="F10" i="8"/>
  <c r="G10" i="8"/>
  <c r="B11" i="8"/>
  <c r="C11" i="8"/>
  <c r="D11" i="8"/>
  <c r="E11" i="8"/>
  <c r="F11" i="8"/>
  <c r="G11" i="8"/>
  <c r="B12" i="8"/>
  <c r="C12" i="8"/>
  <c r="D12" i="8"/>
  <c r="E12" i="8"/>
  <c r="F12" i="8"/>
  <c r="G12" i="8"/>
  <c r="B13" i="8"/>
  <c r="C13" i="8"/>
  <c r="D13" i="8"/>
  <c r="E13" i="8"/>
  <c r="F13" i="8"/>
  <c r="G13" i="8"/>
  <c r="B14" i="8"/>
  <c r="C14" i="8"/>
  <c r="D14" i="8"/>
  <c r="E14" i="8"/>
  <c r="F14" i="8"/>
  <c r="G14" i="8"/>
  <c r="B15" i="8"/>
  <c r="C15" i="8"/>
  <c r="D15" i="8"/>
  <c r="E15" i="8"/>
  <c r="F15" i="8"/>
  <c r="G15" i="8"/>
  <c r="B16" i="8"/>
  <c r="C16" i="8"/>
  <c r="D16" i="8"/>
  <c r="E16" i="8"/>
  <c r="F16" i="8"/>
  <c r="G16" i="8"/>
  <c r="B17" i="8"/>
  <c r="C17" i="8"/>
  <c r="D17" i="8"/>
  <c r="E17" i="8"/>
  <c r="F17" i="8"/>
  <c r="G17" i="8"/>
  <c r="B18" i="8"/>
  <c r="C18" i="8"/>
  <c r="D18" i="8"/>
  <c r="E18" i="8"/>
  <c r="F18" i="8"/>
  <c r="G18" i="8"/>
  <c r="B19" i="8"/>
  <c r="C19" i="8"/>
  <c r="D19" i="8"/>
  <c r="E19" i="8"/>
  <c r="F19" i="8"/>
  <c r="G19" i="8"/>
  <c r="A6" i="8"/>
  <c r="L128" i="1"/>
  <c r="A7" i="8" s="1"/>
  <c r="A12" i="8"/>
  <c r="A13" i="8"/>
  <c r="A14" i="8"/>
  <c r="A15" i="8"/>
  <c r="A16" i="8"/>
  <c r="A17" i="8"/>
  <c r="A18" i="8"/>
  <c r="A19" i="8"/>
  <c r="A26" i="8"/>
  <c r="M154" i="1"/>
  <c r="B26" i="8" s="1"/>
  <c r="A27" i="8"/>
  <c r="A28" i="8"/>
  <c r="A29" i="8"/>
  <c r="A30" i="8"/>
  <c r="A31" i="8"/>
  <c r="A32" i="8"/>
  <c r="A33" i="8"/>
  <c r="A34" i="8"/>
  <c r="A35" i="8"/>
  <c r="A36" i="8"/>
  <c r="A37" i="8"/>
  <c r="A38" i="8"/>
  <c r="A39" i="8"/>
  <c r="A40" i="8"/>
  <c r="A41" i="8"/>
  <c r="G25" i="8"/>
  <c r="F25" i="8"/>
  <c r="E25" i="8"/>
  <c r="C25" i="8"/>
  <c r="B25" i="8"/>
  <c r="H25" i="47" l="1"/>
  <c r="H25" i="41"/>
  <c r="H76" i="44"/>
  <c r="H26" i="61"/>
  <c r="H25" i="60"/>
  <c r="K25" i="57"/>
  <c r="K25" i="54"/>
  <c r="H25" i="51"/>
  <c r="H25" i="48"/>
  <c r="H25" i="57"/>
  <c r="K25" i="56"/>
  <c r="H76" i="54"/>
  <c r="J29" i="1"/>
  <c r="F60" i="1" s="1"/>
  <c r="K25" i="50"/>
  <c r="H25" i="42"/>
  <c r="H25" i="56"/>
  <c r="H25" i="52"/>
  <c r="H25" i="45"/>
  <c r="H25" i="44"/>
  <c r="K25" i="41"/>
  <c r="H25" i="55"/>
  <c r="H25" i="50"/>
  <c r="H25" i="46"/>
  <c r="H25" i="58"/>
  <c r="E103" i="1"/>
  <c r="C40" i="52"/>
  <c r="K23" i="54"/>
  <c r="K23" i="56"/>
  <c r="K23" i="58"/>
  <c r="K23" i="57"/>
  <c r="K23" i="45"/>
  <c r="K23" i="46"/>
  <c r="K23" i="59"/>
  <c r="K24" i="61"/>
  <c r="K23" i="47"/>
  <c r="K23" i="41"/>
  <c r="K23" i="50"/>
  <c r="K23" i="51"/>
  <c r="K23" i="53"/>
  <c r="K23" i="48"/>
  <c r="K23" i="49"/>
  <c r="E44" i="58"/>
  <c r="F44" i="58" s="1"/>
  <c r="G44" i="58" s="1"/>
  <c r="H44" i="58" s="1"/>
  <c r="I44" i="58" s="1"/>
  <c r="F11" i="58"/>
  <c r="E44" i="44"/>
  <c r="F44" i="44" s="1"/>
  <c r="G44" i="44" s="1"/>
  <c r="H44" i="44" s="1"/>
  <c r="I44" i="44" s="1"/>
  <c r="D93" i="42"/>
  <c r="F93" i="42" s="1"/>
  <c r="C40" i="42"/>
  <c r="D95" i="50"/>
  <c r="E42" i="50"/>
  <c r="F42" i="50" s="1"/>
  <c r="G42" i="50" s="1"/>
  <c r="H42" i="50" s="1"/>
  <c r="I42" i="50" s="1"/>
  <c r="G27" i="52"/>
  <c r="K23" i="44"/>
  <c r="K23" i="42"/>
  <c r="I28" i="53"/>
  <c r="I28" i="56"/>
  <c r="I29" i="61"/>
  <c r="I28" i="42"/>
  <c r="I28" i="47"/>
  <c r="I28" i="48"/>
  <c r="I28" i="52"/>
  <c r="I28" i="41"/>
  <c r="I28" i="50"/>
  <c r="I28" i="55"/>
  <c r="I28" i="45"/>
  <c r="I28" i="46"/>
  <c r="J24" i="53"/>
  <c r="J24" i="45"/>
  <c r="J24" i="48"/>
  <c r="J24" i="44"/>
  <c r="J24" i="47"/>
  <c r="J24" i="41"/>
  <c r="J24" i="46"/>
  <c r="J24" i="52"/>
  <c r="J24" i="50"/>
  <c r="J24" i="54"/>
  <c r="J24" i="49"/>
  <c r="J24" i="58"/>
  <c r="E47" i="54"/>
  <c r="F47" i="54" s="1"/>
  <c r="G47" i="54" s="1"/>
  <c r="H47" i="54" s="1"/>
  <c r="I47" i="54" s="1"/>
  <c r="F97" i="55"/>
  <c r="E45" i="55"/>
  <c r="F45" i="55" s="1"/>
  <c r="G45" i="55" s="1"/>
  <c r="H45" i="55" s="1"/>
  <c r="I45" i="55" s="1"/>
  <c r="F107" i="54"/>
  <c r="F23" i="45"/>
  <c r="K22" i="42"/>
  <c r="K22" i="55"/>
  <c r="K22" i="56"/>
  <c r="K22" i="47"/>
  <c r="K22" i="51"/>
  <c r="K29" i="51" s="1"/>
  <c r="G65" i="51" s="1"/>
  <c r="F77" i="52"/>
  <c r="F77" i="54"/>
  <c r="F77" i="60"/>
  <c r="D40" i="1"/>
  <c r="E40" i="1" s="1"/>
  <c r="F40" i="1" s="1"/>
  <c r="G40" i="1" s="1"/>
  <c r="H40" i="1" s="1"/>
  <c r="E45" i="54"/>
  <c r="F45" i="54" s="1"/>
  <c r="G45" i="54" s="1"/>
  <c r="H45" i="54" s="1"/>
  <c r="I45" i="54" s="1"/>
  <c r="E99" i="41"/>
  <c r="E44" i="41"/>
  <c r="F44" i="41" s="1"/>
  <c r="G44" i="41" s="1"/>
  <c r="H44" i="41" s="1"/>
  <c r="I44" i="41" s="1"/>
  <c r="F11" i="52"/>
  <c r="D90" i="52" s="1"/>
  <c r="K23" i="52"/>
  <c r="G27" i="54"/>
  <c r="G27" i="55"/>
  <c r="G27" i="57"/>
  <c r="G27" i="41"/>
  <c r="G27" i="47"/>
  <c r="G27" i="42"/>
  <c r="G27" i="46"/>
  <c r="G27" i="49"/>
  <c r="G27" i="56"/>
  <c r="G27" i="48"/>
  <c r="G27" i="51"/>
  <c r="G28" i="61"/>
  <c r="G27" i="45"/>
  <c r="E48" i="52"/>
  <c r="F48" i="52" s="1"/>
  <c r="G48" i="52" s="1"/>
  <c r="H48" i="52" s="1"/>
  <c r="I48" i="52" s="1"/>
  <c r="F101" i="52"/>
  <c r="F23" i="53"/>
  <c r="F23" i="42"/>
  <c r="F23" i="60"/>
  <c r="F23" i="44"/>
  <c r="F23" i="48"/>
  <c r="F23" i="49"/>
  <c r="F23" i="55"/>
  <c r="F23" i="58"/>
  <c r="F23" i="59"/>
  <c r="F24" i="61"/>
  <c r="F23" i="52"/>
  <c r="G25" i="56"/>
  <c r="G25" i="44"/>
  <c r="H26" i="55"/>
  <c r="H26" i="45"/>
  <c r="H26" i="57"/>
  <c r="H26" i="50"/>
  <c r="H26" i="51"/>
  <c r="C78" i="50"/>
  <c r="C78" i="42"/>
  <c r="C78" i="46"/>
  <c r="H76" i="52"/>
  <c r="H76" i="41"/>
  <c r="H76" i="45"/>
  <c r="E71" i="1"/>
  <c r="E75" i="47"/>
  <c r="E75" i="55"/>
  <c r="E75" i="41"/>
  <c r="B35" i="1"/>
  <c r="D35" i="1" s="1"/>
  <c r="E35" i="1" s="1"/>
  <c r="F35" i="1" s="1"/>
  <c r="H77" i="61"/>
  <c r="H76" i="60"/>
  <c r="E99" i="1"/>
  <c r="E92" i="1"/>
  <c r="I77" i="58"/>
  <c r="G28" i="49"/>
  <c r="I22" i="49"/>
  <c r="F22" i="48"/>
  <c r="I23" i="42"/>
  <c r="E22" i="42"/>
  <c r="I22" i="41"/>
  <c r="I23" i="60"/>
  <c r="H23" i="57"/>
  <c r="H23" i="56"/>
  <c r="I23" i="55"/>
  <c r="H23" i="54"/>
  <c r="J28" i="56"/>
  <c r="J28" i="48"/>
  <c r="J28" i="58"/>
  <c r="J28" i="60"/>
  <c r="E23" i="41"/>
  <c r="E23" i="46"/>
  <c r="E23" i="60"/>
  <c r="E23" i="45"/>
  <c r="E23" i="48"/>
  <c r="D77" i="53"/>
  <c r="D77" i="56"/>
  <c r="D76" i="57"/>
  <c r="C75" i="45"/>
  <c r="F78" i="47"/>
  <c r="H76" i="47"/>
  <c r="D76" i="50"/>
  <c r="H76" i="51"/>
  <c r="D75" i="1"/>
  <c r="E80" i="61" s="1"/>
  <c r="D79" i="45"/>
  <c r="D79" i="48"/>
  <c r="D79" i="56"/>
  <c r="F72" i="1"/>
  <c r="G76" i="41" s="1"/>
  <c r="D75" i="52"/>
  <c r="D75" i="48"/>
  <c r="D75" i="56"/>
  <c r="D75" i="50"/>
  <c r="D75" i="42"/>
  <c r="D73" i="52"/>
  <c r="D73" i="51"/>
  <c r="D73" i="46"/>
  <c r="D73" i="54"/>
  <c r="D73" i="53"/>
  <c r="D73" i="49"/>
  <c r="D73" i="57"/>
  <c r="C79" i="52"/>
  <c r="C79" i="46"/>
  <c r="C79" i="49"/>
  <c r="C79" i="57"/>
  <c r="I77" i="52"/>
  <c r="I77" i="51"/>
  <c r="I77" i="45"/>
  <c r="I77" i="48"/>
  <c r="I77" i="56"/>
  <c r="I77" i="54"/>
  <c r="I77" i="53"/>
  <c r="C75" i="52"/>
  <c r="C75" i="49"/>
  <c r="C75" i="57"/>
  <c r="C75" i="44"/>
  <c r="F11" i="57"/>
  <c r="E44" i="56"/>
  <c r="F44" i="56" s="1"/>
  <c r="G44" i="56" s="1"/>
  <c r="H44" i="56" s="1"/>
  <c r="I44" i="56" s="1"/>
  <c r="F108" i="53"/>
  <c r="F110" i="45"/>
  <c r="F109" i="51"/>
  <c r="I26" i="52"/>
  <c r="G26" i="49"/>
  <c r="I23" i="49"/>
  <c r="K25" i="47"/>
  <c r="I22" i="46"/>
  <c r="G28" i="45"/>
  <c r="I23" i="44"/>
  <c r="J27" i="42"/>
  <c r="G23" i="42"/>
  <c r="E22" i="41"/>
  <c r="E23" i="57"/>
  <c r="E23" i="54"/>
  <c r="H28" i="55"/>
  <c r="H29" i="61"/>
  <c r="H28" i="41"/>
  <c r="H28" i="47"/>
  <c r="H28" i="59"/>
  <c r="H28" i="46"/>
  <c r="H28" i="49"/>
  <c r="I24" i="54"/>
  <c r="I24" i="58"/>
  <c r="I24" i="41"/>
  <c r="I23" i="1"/>
  <c r="J25" i="53"/>
  <c r="J25" i="47"/>
  <c r="J25" i="60"/>
  <c r="J25" i="49"/>
  <c r="I27" i="54"/>
  <c r="I27" i="48"/>
  <c r="I28" i="61"/>
  <c r="I27" i="44"/>
  <c r="C79" i="53"/>
  <c r="F78" i="55"/>
  <c r="H76" i="55"/>
  <c r="C79" i="56"/>
  <c r="C75" i="56"/>
  <c r="F78" i="41"/>
  <c r="C77" i="42"/>
  <c r="C75" i="42"/>
  <c r="F78" i="45"/>
  <c r="D74" i="45"/>
  <c r="C77" i="46"/>
  <c r="C78" i="47"/>
  <c r="H76" i="48"/>
  <c r="I77" i="50"/>
  <c r="D72" i="1"/>
  <c r="G28" i="53"/>
  <c r="G28" i="44"/>
  <c r="G28" i="42"/>
  <c r="E75" i="50"/>
  <c r="C78" i="51"/>
  <c r="I78" i="52"/>
  <c r="I78" i="48"/>
  <c r="I78" i="56"/>
  <c r="I78" i="42"/>
  <c r="I79" i="61"/>
  <c r="F77" i="61"/>
  <c r="H76" i="59"/>
  <c r="F107" i="48"/>
  <c r="I22" i="52"/>
  <c r="I23" i="51"/>
  <c r="G28" i="50"/>
  <c r="I23" i="50"/>
  <c r="I23" i="45"/>
  <c r="G28" i="41"/>
  <c r="I23" i="41"/>
  <c r="I22" i="57"/>
  <c r="I22" i="56"/>
  <c r="G24" i="44"/>
  <c r="G24" i="47"/>
  <c r="G24" i="55"/>
  <c r="G24" i="42"/>
  <c r="G24" i="49"/>
  <c r="H23" i="53"/>
  <c r="H23" i="58"/>
  <c r="H23" i="41"/>
  <c r="H23" i="46"/>
  <c r="F22" i="53"/>
  <c r="F22" i="60"/>
  <c r="F22" i="54"/>
  <c r="F22" i="46"/>
  <c r="K25" i="55"/>
  <c r="K25" i="59"/>
  <c r="K26" i="61"/>
  <c r="K25" i="46"/>
  <c r="K27" i="56"/>
  <c r="K27" i="45"/>
  <c r="K27" i="41"/>
  <c r="K27" i="47"/>
  <c r="H76" i="53"/>
  <c r="C78" i="55"/>
  <c r="H76" i="56"/>
  <c r="C78" i="41"/>
  <c r="C78" i="45"/>
  <c r="I77" i="47"/>
  <c r="C78" i="48"/>
  <c r="H76" i="49"/>
  <c r="C75" i="50"/>
  <c r="E75" i="51"/>
  <c r="F78" i="52"/>
  <c r="F78" i="49"/>
  <c r="F78" i="57"/>
  <c r="F78" i="44"/>
  <c r="G73" i="1"/>
  <c r="D77" i="46"/>
  <c r="D77" i="49"/>
  <c r="D77" i="57"/>
  <c r="D74" i="52"/>
  <c r="D74" i="50"/>
  <c r="D74" i="42"/>
  <c r="D74" i="51"/>
  <c r="D74" i="46"/>
  <c r="D74" i="54"/>
  <c r="D74" i="53"/>
  <c r="E27" i="61"/>
  <c r="E26" i="48"/>
  <c r="E26" i="53"/>
  <c r="I22" i="45"/>
  <c r="I22" i="48"/>
  <c r="I22" i="58"/>
  <c r="I22" i="44"/>
  <c r="I22" i="47"/>
  <c r="I22" i="50"/>
  <c r="H72" i="1"/>
  <c r="I76" i="51" s="1"/>
  <c r="D76" i="44"/>
  <c r="D76" i="52"/>
  <c r="D76" i="47"/>
  <c r="D76" i="55"/>
  <c r="D76" i="54"/>
  <c r="D76" i="53"/>
  <c r="I78" i="61"/>
  <c r="I77" i="60"/>
  <c r="E100" i="1"/>
  <c r="E93" i="1"/>
  <c r="E89" i="1"/>
  <c r="E42" i="42"/>
  <c r="F42" i="42" s="1"/>
  <c r="G42" i="42" s="1"/>
  <c r="H42" i="42" s="1"/>
  <c r="I42" i="42" s="1"/>
  <c r="F11" i="41"/>
  <c r="K25" i="52"/>
  <c r="I23" i="52"/>
  <c r="G28" i="51"/>
  <c r="H23" i="51"/>
  <c r="F22" i="51"/>
  <c r="I25" i="50"/>
  <c r="H23" i="50"/>
  <c r="K25" i="49"/>
  <c r="I23" i="47"/>
  <c r="K27" i="46"/>
  <c r="I23" i="46"/>
  <c r="H23" i="45"/>
  <c r="K25" i="44"/>
  <c r="I22" i="42"/>
  <c r="K25" i="60"/>
  <c r="I22" i="60"/>
  <c r="K27" i="59"/>
  <c r="F22" i="57"/>
  <c r="K27" i="55"/>
  <c r="G23" i="53"/>
  <c r="G23" i="54"/>
  <c r="G23" i="56"/>
  <c r="G23" i="44"/>
  <c r="G23" i="47"/>
  <c r="G23" i="50"/>
  <c r="G23" i="55"/>
  <c r="G23" i="57"/>
  <c r="G23" i="59"/>
  <c r="G24" i="61"/>
  <c r="G23" i="49"/>
  <c r="F22" i="1"/>
  <c r="E22" i="44"/>
  <c r="E22" i="47"/>
  <c r="E22" i="50"/>
  <c r="E22" i="49"/>
  <c r="F76" i="53"/>
  <c r="C79" i="54"/>
  <c r="C75" i="54"/>
  <c r="F78" i="42"/>
  <c r="H76" i="42"/>
  <c r="C79" i="44"/>
  <c r="I78" i="46"/>
  <c r="H76" i="46"/>
  <c r="C79" i="47"/>
  <c r="D77" i="47"/>
  <c r="C75" i="47"/>
  <c r="I78" i="49"/>
  <c r="C79" i="50"/>
  <c r="D77" i="51"/>
  <c r="C77" i="47"/>
  <c r="C77" i="55"/>
  <c r="C77" i="54"/>
  <c r="C77" i="52"/>
  <c r="C77" i="41"/>
  <c r="K28" i="54"/>
  <c r="F106" i="60"/>
  <c r="F99" i="60"/>
  <c r="D40" i="55"/>
  <c r="E43" i="54"/>
  <c r="F43" i="54" s="1"/>
  <c r="G43" i="54" s="1"/>
  <c r="H43" i="54" s="1"/>
  <c r="I43" i="54" s="1"/>
  <c r="E45" i="53"/>
  <c r="F45" i="53" s="1"/>
  <c r="G45" i="53" s="1"/>
  <c r="H45" i="53" s="1"/>
  <c r="I45" i="53" s="1"/>
  <c r="F101" i="53"/>
  <c r="E47" i="42"/>
  <c r="F47" i="42" s="1"/>
  <c r="G47" i="42" s="1"/>
  <c r="H47" i="42" s="1"/>
  <c r="I47" i="42" s="1"/>
  <c r="F110" i="41"/>
  <c r="F108" i="41"/>
  <c r="F106" i="41"/>
  <c r="F99" i="41"/>
  <c r="F96" i="41"/>
  <c r="F96" i="46"/>
  <c r="H26" i="59"/>
  <c r="H25" i="59"/>
  <c r="I27" i="58"/>
  <c r="K25" i="58"/>
  <c r="E25" i="57"/>
  <c r="G25" i="54"/>
  <c r="K27" i="53"/>
  <c r="K25" i="53"/>
  <c r="F12" i="61"/>
  <c r="D91" i="61" s="1"/>
  <c r="F17" i="57"/>
  <c r="E48" i="46"/>
  <c r="F48" i="46" s="1"/>
  <c r="G48" i="46" s="1"/>
  <c r="H48" i="46" s="1"/>
  <c r="I48" i="46" s="1"/>
  <c r="F108" i="47"/>
  <c r="E45" i="49"/>
  <c r="F45" i="49" s="1"/>
  <c r="G45" i="49" s="1"/>
  <c r="H45" i="49" s="1"/>
  <c r="I45" i="49" s="1"/>
  <c r="F110" i="50"/>
  <c r="F106" i="50"/>
  <c r="K29" i="55"/>
  <c r="G65" i="55" s="1"/>
  <c r="F96" i="58"/>
  <c r="F95" i="58"/>
  <c r="I78" i="60"/>
  <c r="F76" i="59"/>
  <c r="C40" i="57"/>
  <c r="D93" i="57"/>
  <c r="D90" i="57" s="1"/>
  <c r="F11" i="54"/>
  <c r="D90" i="54" s="1"/>
  <c r="F108" i="54"/>
  <c r="F110" i="47"/>
  <c r="F17" i="48"/>
  <c r="C41" i="48" s="1"/>
  <c r="E41" i="48" s="1"/>
  <c r="F41" i="48" s="1"/>
  <c r="F96" i="49"/>
  <c r="F18" i="51"/>
  <c r="E42" i="52"/>
  <c r="F42" i="52" s="1"/>
  <c r="G42" i="52" s="1"/>
  <c r="H42" i="52" s="1"/>
  <c r="I42" i="52" s="1"/>
  <c r="J26" i="52"/>
  <c r="E26" i="52"/>
  <c r="E25" i="52"/>
  <c r="J26" i="51"/>
  <c r="E26" i="51"/>
  <c r="H26" i="49"/>
  <c r="G25" i="49"/>
  <c r="E25" i="48"/>
  <c r="J26" i="47"/>
  <c r="G25" i="47"/>
  <c r="E25" i="46"/>
  <c r="J26" i="45"/>
  <c r="G25" i="45"/>
  <c r="K26" i="44"/>
  <c r="E26" i="44"/>
  <c r="H26" i="42"/>
  <c r="H26" i="41"/>
  <c r="H27" i="61"/>
  <c r="E25" i="60"/>
  <c r="J26" i="59"/>
  <c r="G25" i="59"/>
  <c r="E25" i="58"/>
  <c r="K26" i="57"/>
  <c r="K26" i="56"/>
  <c r="E26" i="56"/>
  <c r="F76" i="55"/>
  <c r="F76" i="56"/>
  <c r="F76" i="57"/>
  <c r="F76" i="41"/>
  <c r="F76" i="42"/>
  <c r="F76" i="44"/>
  <c r="F76" i="45"/>
  <c r="F76" i="46"/>
  <c r="F76" i="47"/>
  <c r="F76" i="48"/>
  <c r="F76" i="49"/>
  <c r="I78" i="51"/>
  <c r="F17" i="55"/>
  <c r="C46" i="55" s="1"/>
  <c r="E46" i="61"/>
  <c r="F46" i="61" s="1"/>
  <c r="G46" i="61" s="1"/>
  <c r="H46" i="61" s="1"/>
  <c r="I46" i="61" s="1"/>
  <c r="F107" i="61"/>
  <c r="F76" i="60"/>
  <c r="E48" i="59"/>
  <c r="F48" i="59" s="1"/>
  <c r="G48" i="59" s="1"/>
  <c r="H48" i="59" s="1"/>
  <c r="I48" i="59" s="1"/>
  <c r="F76" i="58"/>
  <c r="E43" i="59"/>
  <c r="F43" i="59" s="1"/>
  <c r="G43" i="59" s="1"/>
  <c r="H43" i="59" s="1"/>
  <c r="I43" i="59" s="1"/>
  <c r="E47" i="57"/>
  <c r="F47" i="57" s="1"/>
  <c r="G47" i="57" s="1"/>
  <c r="H47" i="57" s="1"/>
  <c r="I47" i="57" s="1"/>
  <c r="F17" i="54"/>
  <c r="E43" i="45"/>
  <c r="F43" i="45" s="1"/>
  <c r="G43" i="45" s="1"/>
  <c r="H43" i="45" s="1"/>
  <c r="I43" i="45" s="1"/>
  <c r="E47" i="48"/>
  <c r="F47" i="48" s="1"/>
  <c r="G47" i="48" s="1"/>
  <c r="H47" i="48" s="1"/>
  <c r="I47" i="48" s="1"/>
  <c r="F11" i="47"/>
  <c r="E43" i="48"/>
  <c r="F43" i="48" s="1"/>
  <c r="G43" i="48" s="1"/>
  <c r="H43" i="48" s="1"/>
  <c r="I43" i="48" s="1"/>
  <c r="E42" i="48"/>
  <c r="F42" i="48" s="1"/>
  <c r="G42" i="48" s="1"/>
  <c r="H42" i="48" s="1"/>
  <c r="I42" i="48" s="1"/>
  <c r="E47" i="50"/>
  <c r="F47" i="50" s="1"/>
  <c r="G47" i="50" s="1"/>
  <c r="H47" i="50" s="1"/>
  <c r="I47" i="50" s="1"/>
  <c r="E42" i="51"/>
  <c r="F42" i="51" s="1"/>
  <c r="G42" i="51" s="1"/>
  <c r="H42" i="51" s="1"/>
  <c r="I42" i="51" s="1"/>
  <c r="D95" i="52"/>
  <c r="K26" i="52"/>
  <c r="K26" i="51"/>
  <c r="E25" i="51"/>
  <c r="J26" i="50"/>
  <c r="E26" i="50"/>
  <c r="E25" i="50"/>
  <c r="I29" i="50"/>
  <c r="E65" i="50" s="1"/>
  <c r="J26" i="49"/>
  <c r="E26" i="49"/>
  <c r="H26" i="48"/>
  <c r="K26" i="47"/>
  <c r="E26" i="47"/>
  <c r="H26" i="46"/>
  <c r="K26" i="45"/>
  <c r="K29" i="45" s="1"/>
  <c r="G65" i="45" s="1"/>
  <c r="E26" i="45"/>
  <c r="E25" i="44"/>
  <c r="J26" i="42"/>
  <c r="G25" i="42"/>
  <c r="J26" i="41"/>
  <c r="G25" i="41"/>
  <c r="J27" i="61"/>
  <c r="G26" i="61"/>
  <c r="H26" i="60"/>
  <c r="E26" i="59"/>
  <c r="H26" i="58"/>
  <c r="E26" i="57"/>
  <c r="I27" i="55"/>
  <c r="E26" i="55"/>
  <c r="H26" i="54"/>
  <c r="G27" i="53"/>
  <c r="H26" i="53"/>
  <c r="I78" i="54"/>
  <c r="F76" i="54"/>
  <c r="F76" i="50"/>
  <c r="E49" i="61"/>
  <c r="F49" i="61" s="1"/>
  <c r="G49" i="61" s="1"/>
  <c r="H49" i="61" s="1"/>
  <c r="I49" i="61" s="1"/>
  <c r="F18" i="60"/>
  <c r="F18" i="58"/>
  <c r="E74" i="58" s="1"/>
  <c r="F74" i="58" s="1"/>
  <c r="G74" i="58" s="1"/>
  <c r="H74" i="58" s="1"/>
  <c r="I74" i="58" s="1"/>
  <c r="F11" i="59"/>
  <c r="E43" i="57"/>
  <c r="F43" i="57" s="1"/>
  <c r="G43" i="57" s="1"/>
  <c r="H43" i="57" s="1"/>
  <c r="I43" i="57" s="1"/>
  <c r="F109" i="56"/>
  <c r="F11" i="56"/>
  <c r="E48" i="54"/>
  <c r="F48" i="54" s="1"/>
  <c r="G48" i="54" s="1"/>
  <c r="H48" i="54" s="1"/>
  <c r="I48" i="54" s="1"/>
  <c r="E43" i="44"/>
  <c r="F43" i="44" s="1"/>
  <c r="G43" i="44" s="1"/>
  <c r="H43" i="44" s="1"/>
  <c r="I43" i="44" s="1"/>
  <c r="F109" i="45"/>
  <c r="E48" i="48"/>
  <c r="F48" i="48" s="1"/>
  <c r="G48" i="48" s="1"/>
  <c r="H48" i="48" s="1"/>
  <c r="I48" i="48" s="1"/>
  <c r="F110" i="48"/>
  <c r="E44" i="48"/>
  <c r="F44" i="48" s="1"/>
  <c r="G44" i="48" s="1"/>
  <c r="H44" i="48" s="1"/>
  <c r="I44" i="48" s="1"/>
  <c r="E96" i="48"/>
  <c r="F96" i="48" s="1"/>
  <c r="E95" i="48"/>
  <c r="E42" i="49"/>
  <c r="F42" i="49" s="1"/>
  <c r="G42" i="49" s="1"/>
  <c r="H42" i="49" s="1"/>
  <c r="I42" i="49" s="1"/>
  <c r="E45" i="51"/>
  <c r="F45" i="51" s="1"/>
  <c r="G45" i="51" s="1"/>
  <c r="H45" i="51" s="1"/>
  <c r="I45" i="51" s="1"/>
  <c r="F99" i="50"/>
  <c r="H26" i="52"/>
  <c r="G25" i="52"/>
  <c r="K26" i="50"/>
  <c r="K26" i="49"/>
  <c r="K29" i="49" s="1"/>
  <c r="G65" i="49" s="1"/>
  <c r="E25" i="49"/>
  <c r="J26" i="48"/>
  <c r="G25" i="48"/>
  <c r="K29" i="48"/>
  <c r="G65" i="48" s="1"/>
  <c r="E25" i="47"/>
  <c r="J26" i="46"/>
  <c r="G25" i="46"/>
  <c r="E25" i="45"/>
  <c r="H26" i="44"/>
  <c r="K26" i="42"/>
  <c r="K29" i="42" s="1"/>
  <c r="G65" i="42" s="1"/>
  <c r="E26" i="42"/>
  <c r="K26" i="41"/>
  <c r="E26" i="41"/>
  <c r="K27" i="61"/>
  <c r="G27" i="60"/>
  <c r="J26" i="60"/>
  <c r="G25" i="60"/>
  <c r="J25" i="59"/>
  <c r="E25" i="59"/>
  <c r="J26" i="58"/>
  <c r="G25" i="58"/>
  <c r="I27" i="57"/>
  <c r="J25" i="57"/>
  <c r="I27" i="56"/>
  <c r="H26" i="56"/>
  <c r="G25" i="55"/>
  <c r="I78" i="53"/>
  <c r="F76" i="51"/>
  <c r="D40" i="56"/>
  <c r="E45" i="60"/>
  <c r="F45" i="60" s="1"/>
  <c r="G45" i="60" s="1"/>
  <c r="H45" i="60" s="1"/>
  <c r="I45" i="60" s="1"/>
  <c r="H29" i="1"/>
  <c r="D60" i="1" s="1"/>
  <c r="F77" i="58"/>
  <c r="F110" i="59"/>
  <c r="F109" i="59"/>
  <c r="F107" i="59"/>
  <c r="F95" i="59"/>
  <c r="F109" i="57"/>
  <c r="E43" i="55"/>
  <c r="F43" i="55" s="1"/>
  <c r="G43" i="55" s="1"/>
  <c r="H43" i="55" s="1"/>
  <c r="I43" i="55" s="1"/>
  <c r="D90" i="55"/>
  <c r="D86" i="55" s="1"/>
  <c r="F109" i="54"/>
  <c r="E42" i="53"/>
  <c r="F42" i="53" s="1"/>
  <c r="G42" i="53" s="1"/>
  <c r="H42" i="53" s="1"/>
  <c r="I42" i="53" s="1"/>
  <c r="F95" i="53"/>
  <c r="E43" i="41"/>
  <c r="F43" i="41" s="1"/>
  <c r="G43" i="41" s="1"/>
  <c r="H43" i="41" s="1"/>
  <c r="I43" i="41" s="1"/>
  <c r="F11" i="53"/>
  <c r="F107" i="42"/>
  <c r="F18" i="42"/>
  <c r="D94" i="42" s="1"/>
  <c r="E44" i="45"/>
  <c r="F44" i="45" s="1"/>
  <c r="G44" i="45" s="1"/>
  <c r="H44" i="45" s="1"/>
  <c r="I44" i="45" s="1"/>
  <c r="E43" i="46"/>
  <c r="F43" i="46" s="1"/>
  <c r="G43" i="46" s="1"/>
  <c r="H43" i="46" s="1"/>
  <c r="I43" i="46" s="1"/>
  <c r="F110" i="46"/>
  <c r="F108" i="48"/>
  <c r="F18" i="48"/>
  <c r="D94" i="48" s="1"/>
  <c r="F94" i="48" s="1"/>
  <c r="F108" i="49"/>
  <c r="F109" i="50"/>
  <c r="F108" i="51"/>
  <c r="F107" i="52"/>
  <c r="J27" i="51"/>
  <c r="J27" i="49"/>
  <c r="G26" i="48"/>
  <c r="G26" i="47"/>
  <c r="G26" i="46"/>
  <c r="G26" i="45"/>
  <c r="E25" i="53"/>
  <c r="F77" i="53"/>
  <c r="G76" i="55"/>
  <c r="F77" i="56"/>
  <c r="F77" i="41"/>
  <c r="F77" i="44"/>
  <c r="F77" i="46"/>
  <c r="G76" i="47"/>
  <c r="F77" i="48"/>
  <c r="F77" i="50"/>
  <c r="E42" i="60"/>
  <c r="F42" i="60" s="1"/>
  <c r="G42" i="60" s="1"/>
  <c r="H42" i="60" s="1"/>
  <c r="I42" i="60" s="1"/>
  <c r="E43" i="58"/>
  <c r="F43" i="58" s="1"/>
  <c r="G43" i="58" s="1"/>
  <c r="H43" i="58" s="1"/>
  <c r="I43" i="58" s="1"/>
  <c r="D96" i="59"/>
  <c r="F96" i="59" s="1"/>
  <c r="E45" i="56"/>
  <c r="F45" i="56" s="1"/>
  <c r="G45" i="56" s="1"/>
  <c r="H45" i="56" s="1"/>
  <c r="I45" i="56" s="1"/>
  <c r="F17" i="56"/>
  <c r="E47" i="55"/>
  <c r="F47" i="55" s="1"/>
  <c r="G47" i="55" s="1"/>
  <c r="H47" i="55" s="1"/>
  <c r="I47" i="55" s="1"/>
  <c r="E44" i="55"/>
  <c r="F44" i="55" s="1"/>
  <c r="G44" i="55" s="1"/>
  <c r="H44" i="55" s="1"/>
  <c r="I44" i="55" s="1"/>
  <c r="F18" i="53"/>
  <c r="D94" i="53" s="1"/>
  <c r="F94" i="53" s="1"/>
  <c r="E45" i="41"/>
  <c r="F45" i="41" s="1"/>
  <c r="G45" i="41" s="1"/>
  <c r="H45" i="41" s="1"/>
  <c r="I45" i="41" s="1"/>
  <c r="E45" i="42"/>
  <c r="F45" i="42" s="1"/>
  <c r="G45" i="42" s="1"/>
  <c r="H45" i="42" s="1"/>
  <c r="I45" i="42" s="1"/>
  <c r="C40" i="44"/>
  <c r="F96" i="44"/>
  <c r="F17" i="41"/>
  <c r="D93" i="41"/>
  <c r="F93" i="41" s="1"/>
  <c r="D96" i="45"/>
  <c r="E42" i="45"/>
  <c r="F42" i="45" s="1"/>
  <c r="G42" i="45" s="1"/>
  <c r="H42" i="45" s="1"/>
  <c r="I42" i="45" s="1"/>
  <c r="E43" i="47"/>
  <c r="F43" i="47" s="1"/>
  <c r="G43" i="47" s="1"/>
  <c r="H43" i="47" s="1"/>
  <c r="I43" i="47" s="1"/>
  <c r="F109" i="46"/>
  <c r="F101" i="47"/>
  <c r="E42" i="47"/>
  <c r="F42" i="47" s="1"/>
  <c r="G42" i="47" s="1"/>
  <c r="H42" i="47" s="1"/>
  <c r="I42" i="47" s="1"/>
  <c r="F17" i="47"/>
  <c r="D93" i="48"/>
  <c r="E43" i="50"/>
  <c r="F43" i="50" s="1"/>
  <c r="G43" i="50" s="1"/>
  <c r="H43" i="50" s="1"/>
  <c r="I43" i="50" s="1"/>
  <c r="F107" i="49"/>
  <c r="F17" i="52"/>
  <c r="J27" i="52"/>
  <c r="I29" i="52"/>
  <c r="E65" i="52" s="1"/>
  <c r="J27" i="50"/>
  <c r="J27" i="48"/>
  <c r="J27" i="47"/>
  <c r="J27" i="46"/>
  <c r="G26" i="44"/>
  <c r="K26" i="60"/>
  <c r="G27" i="59"/>
  <c r="K26" i="59"/>
  <c r="G27" i="58"/>
  <c r="K26" i="58"/>
  <c r="J26" i="57"/>
  <c r="G25" i="57"/>
  <c r="J25" i="56"/>
  <c r="J26" i="55"/>
  <c r="J25" i="55"/>
  <c r="J26" i="54"/>
  <c r="I27" i="53"/>
  <c r="G25" i="53"/>
  <c r="G76" i="53"/>
  <c r="F77" i="55"/>
  <c r="G76" i="56"/>
  <c r="F77" i="57"/>
  <c r="F77" i="42"/>
  <c r="G76" i="44"/>
  <c r="F77" i="45"/>
  <c r="G76" i="46"/>
  <c r="F77" i="47"/>
  <c r="G76" i="48"/>
  <c r="F77" i="49"/>
  <c r="I78" i="50"/>
  <c r="G76" i="50"/>
  <c r="F77" i="51"/>
  <c r="E44" i="61"/>
  <c r="F44" i="61" s="1"/>
  <c r="G44" i="61" s="1"/>
  <c r="H44" i="61" s="1"/>
  <c r="I44" i="61" s="1"/>
  <c r="F96" i="61"/>
  <c r="G76" i="60"/>
  <c r="E47" i="58"/>
  <c r="F47" i="58" s="1"/>
  <c r="G47" i="58" s="1"/>
  <c r="H47" i="58" s="1"/>
  <c r="I47" i="58" s="1"/>
  <c r="F107" i="58"/>
  <c r="F99" i="58"/>
  <c r="F77" i="59"/>
  <c r="F18" i="59"/>
  <c r="E74" i="59" s="1"/>
  <c r="F74" i="59" s="1"/>
  <c r="G74" i="59" s="1"/>
  <c r="H74" i="59" s="1"/>
  <c r="I74" i="59" s="1"/>
  <c r="F110" i="57"/>
  <c r="F99" i="57"/>
  <c r="E48" i="56"/>
  <c r="F48" i="56" s="1"/>
  <c r="G48" i="56" s="1"/>
  <c r="H48" i="56" s="1"/>
  <c r="I48" i="56" s="1"/>
  <c r="C41" i="53"/>
  <c r="E41" i="53" s="1"/>
  <c r="F41" i="53" s="1"/>
  <c r="D90" i="53"/>
  <c r="D88" i="53" s="1"/>
  <c r="F88" i="53" s="1"/>
  <c r="E42" i="44"/>
  <c r="F42" i="44" s="1"/>
  <c r="G42" i="44" s="1"/>
  <c r="H42" i="44" s="1"/>
  <c r="I42" i="44" s="1"/>
  <c r="F108" i="42"/>
  <c r="F11" i="45"/>
  <c r="D90" i="45" s="1"/>
  <c r="F109" i="49"/>
  <c r="F106" i="49"/>
  <c r="F96" i="51"/>
  <c r="F95" i="52"/>
  <c r="F18" i="52"/>
  <c r="D94" i="52" s="1"/>
  <c r="F94" i="52" s="1"/>
  <c r="G26" i="52"/>
  <c r="I26" i="51"/>
  <c r="I25" i="51"/>
  <c r="I25" i="49"/>
  <c r="I29" i="49" s="1"/>
  <c r="E65" i="49" s="1"/>
  <c r="I25" i="53"/>
  <c r="A8" i="8"/>
  <c r="A9" i="8"/>
  <c r="A11" i="8"/>
  <c r="E87" i="1"/>
  <c r="D40" i="44"/>
  <c r="V154" i="1"/>
  <c r="A110" i="63"/>
  <c r="D34" i="1"/>
  <c r="D40" i="41"/>
  <c r="E40" i="41" s="1"/>
  <c r="D40" i="47"/>
  <c r="E40" i="47" s="1"/>
  <c r="D40" i="49"/>
  <c r="D40" i="45"/>
  <c r="E40" i="45" s="1"/>
  <c r="D40" i="50"/>
  <c r="D40" i="51"/>
  <c r="E40" i="51" s="1"/>
  <c r="E93" i="57"/>
  <c r="D40" i="42"/>
  <c r="D41" i="61"/>
  <c r="E41" i="61" s="1"/>
  <c r="D40" i="54"/>
  <c r="F107" i="60"/>
  <c r="F110" i="55"/>
  <c r="F110" i="54"/>
  <c r="F110" i="44"/>
  <c r="F108" i="44"/>
  <c r="F106" i="44"/>
  <c r="F109" i="47"/>
  <c r="E49" i="1"/>
  <c r="C59" i="1" s="1"/>
  <c r="C46" i="42"/>
  <c r="D98" i="42" s="1"/>
  <c r="F98" i="42" s="1"/>
  <c r="C41" i="42"/>
  <c r="E41" i="42" s="1"/>
  <c r="F41" i="42" s="1"/>
  <c r="F109" i="53"/>
  <c r="F107" i="53"/>
  <c r="F108" i="59"/>
  <c r="F99" i="59"/>
  <c r="F108" i="57"/>
  <c r="F95" i="56"/>
  <c r="F96" i="54"/>
  <c r="K24" i="53"/>
  <c r="K24" i="54"/>
  <c r="K24" i="57"/>
  <c r="K24" i="58"/>
  <c r="K24" i="59"/>
  <c r="K24" i="60"/>
  <c r="K25" i="61"/>
  <c r="K24" i="41"/>
  <c r="G24" i="53"/>
  <c r="G24" i="54"/>
  <c r="G24" i="57"/>
  <c r="G24" i="58"/>
  <c r="G24" i="59"/>
  <c r="G24" i="60"/>
  <c r="G25" i="61"/>
  <c r="G24" i="41"/>
  <c r="K22" i="53"/>
  <c r="K22" i="54"/>
  <c r="K22" i="57"/>
  <c r="K22" i="58"/>
  <c r="K22" i="59"/>
  <c r="K22" i="60"/>
  <c r="K23" i="61"/>
  <c r="K22" i="41"/>
  <c r="G22" i="1"/>
  <c r="I22" i="1"/>
  <c r="E22" i="53"/>
  <c r="E22" i="55"/>
  <c r="G26" i="54"/>
  <c r="G26" i="42"/>
  <c r="I26" i="54"/>
  <c r="I26" i="53"/>
  <c r="J27" i="53"/>
  <c r="J27" i="41"/>
  <c r="J27" i="44"/>
  <c r="H77" i="50"/>
  <c r="H77" i="48"/>
  <c r="H77" i="46"/>
  <c r="H77" i="44"/>
  <c r="H77" i="42"/>
  <c r="H77" i="41"/>
  <c r="H77" i="56"/>
  <c r="H77" i="54"/>
  <c r="H77" i="52"/>
  <c r="H77" i="51"/>
  <c r="E45" i="61"/>
  <c r="F45" i="61" s="1"/>
  <c r="G45" i="61" s="1"/>
  <c r="H45" i="61" s="1"/>
  <c r="I45" i="61" s="1"/>
  <c r="E48" i="60"/>
  <c r="F48" i="60" s="1"/>
  <c r="G48" i="60" s="1"/>
  <c r="H48" i="60" s="1"/>
  <c r="I48" i="60" s="1"/>
  <c r="F109" i="61"/>
  <c r="F100" i="61"/>
  <c r="F18" i="61"/>
  <c r="F110" i="60"/>
  <c r="D95" i="60"/>
  <c r="F11" i="60"/>
  <c r="D90" i="60" s="1"/>
  <c r="C85" i="1"/>
  <c r="D28" i="10" s="1"/>
  <c r="E47" i="59"/>
  <c r="F47" i="59" s="1"/>
  <c r="G47" i="59" s="1"/>
  <c r="H47" i="59" s="1"/>
  <c r="I47" i="59" s="1"/>
  <c r="C40" i="59"/>
  <c r="E48" i="58"/>
  <c r="F48" i="58" s="1"/>
  <c r="G48" i="58" s="1"/>
  <c r="H48" i="58" s="1"/>
  <c r="I48" i="58" s="1"/>
  <c r="F108" i="58"/>
  <c r="F17" i="58"/>
  <c r="C41" i="58" s="1"/>
  <c r="E41" i="58" s="1"/>
  <c r="F17" i="59"/>
  <c r="C41" i="59" s="1"/>
  <c r="E41" i="59" s="1"/>
  <c r="F41" i="59" s="1"/>
  <c r="G41" i="59" s="1"/>
  <c r="E44" i="57"/>
  <c r="F44" i="57" s="1"/>
  <c r="G44" i="57" s="1"/>
  <c r="H44" i="57" s="1"/>
  <c r="I44" i="57" s="1"/>
  <c r="E42" i="57"/>
  <c r="F42" i="57" s="1"/>
  <c r="G42" i="57" s="1"/>
  <c r="H42" i="57" s="1"/>
  <c r="I42" i="57" s="1"/>
  <c r="E40" i="57"/>
  <c r="E47" i="56"/>
  <c r="F47" i="56" s="1"/>
  <c r="G47" i="56" s="1"/>
  <c r="H47" i="56" s="1"/>
  <c r="I47" i="56" s="1"/>
  <c r="C40" i="56"/>
  <c r="C40" i="55"/>
  <c r="E44" i="54"/>
  <c r="F44" i="54" s="1"/>
  <c r="G44" i="54" s="1"/>
  <c r="H44" i="54" s="1"/>
  <c r="I44" i="54" s="1"/>
  <c r="F107" i="55"/>
  <c r="F18" i="55"/>
  <c r="D94" i="55" s="1"/>
  <c r="F94" i="55" s="1"/>
  <c r="F18" i="54"/>
  <c r="C46" i="54" s="1"/>
  <c r="F99" i="53"/>
  <c r="E47" i="41"/>
  <c r="F47" i="41" s="1"/>
  <c r="G47" i="41" s="1"/>
  <c r="H47" i="41" s="1"/>
  <c r="I47" i="41" s="1"/>
  <c r="E42" i="41"/>
  <c r="F42" i="41" s="1"/>
  <c r="G42" i="41" s="1"/>
  <c r="H42" i="41" s="1"/>
  <c r="I42" i="41" s="1"/>
  <c r="E44" i="42"/>
  <c r="F44" i="42" s="1"/>
  <c r="G44" i="42" s="1"/>
  <c r="H44" i="42" s="1"/>
  <c r="I44" i="42" s="1"/>
  <c r="E48" i="44"/>
  <c r="F48" i="44" s="1"/>
  <c r="G48" i="44" s="1"/>
  <c r="H48" i="44" s="1"/>
  <c r="I48" i="44" s="1"/>
  <c r="F110" i="42"/>
  <c r="F106" i="42"/>
  <c r="E43" i="42"/>
  <c r="F43" i="42" s="1"/>
  <c r="G43" i="42" s="1"/>
  <c r="H43" i="42" s="1"/>
  <c r="I43" i="42" s="1"/>
  <c r="E45" i="45"/>
  <c r="F45" i="45" s="1"/>
  <c r="G45" i="45" s="1"/>
  <c r="H45" i="45" s="1"/>
  <c r="I45" i="45" s="1"/>
  <c r="C40" i="45"/>
  <c r="F95" i="44"/>
  <c r="F18" i="41"/>
  <c r="D94" i="41" s="1"/>
  <c r="F99" i="45"/>
  <c r="F17" i="45"/>
  <c r="F11" i="46"/>
  <c r="F106" i="46"/>
  <c r="E42" i="46"/>
  <c r="F42" i="46" s="1"/>
  <c r="G42" i="46" s="1"/>
  <c r="H42" i="46" s="1"/>
  <c r="I42" i="46" s="1"/>
  <c r="F106" i="47"/>
  <c r="F96" i="47"/>
  <c r="E48" i="49"/>
  <c r="F48" i="49" s="1"/>
  <c r="G48" i="49" s="1"/>
  <c r="H48" i="49" s="1"/>
  <c r="I48" i="49" s="1"/>
  <c r="E45" i="50"/>
  <c r="F45" i="50" s="1"/>
  <c r="G45" i="50" s="1"/>
  <c r="H45" i="50" s="1"/>
  <c r="I45" i="50" s="1"/>
  <c r="F110" i="49"/>
  <c r="F17" i="49"/>
  <c r="E44" i="51"/>
  <c r="F44" i="51" s="1"/>
  <c r="G44" i="51" s="1"/>
  <c r="H44" i="51" s="1"/>
  <c r="I44" i="51" s="1"/>
  <c r="F101" i="50"/>
  <c r="F17" i="50"/>
  <c r="F11" i="51"/>
  <c r="D90" i="51" s="1"/>
  <c r="D86" i="51" s="1"/>
  <c r="F86" i="51" s="1"/>
  <c r="E43" i="51"/>
  <c r="F43" i="51" s="1"/>
  <c r="G43" i="51" s="1"/>
  <c r="H43" i="51" s="1"/>
  <c r="I43" i="51" s="1"/>
  <c r="F93" i="51"/>
  <c r="J28" i="53"/>
  <c r="J28" i="55"/>
  <c r="J28" i="41"/>
  <c r="J28" i="44"/>
  <c r="E75" i="1"/>
  <c r="E79" i="51"/>
  <c r="E79" i="49"/>
  <c r="E79" i="48"/>
  <c r="E79" i="47"/>
  <c r="E79" i="45"/>
  <c r="E79" i="42"/>
  <c r="E79" i="57"/>
  <c r="E79" i="56"/>
  <c r="E79" i="55"/>
  <c r="E79" i="53"/>
  <c r="F96" i="55"/>
  <c r="F106" i="54"/>
  <c r="F109" i="42"/>
  <c r="F99" i="44"/>
  <c r="F17" i="46"/>
  <c r="F11" i="49"/>
  <c r="D90" i="49" s="1"/>
  <c r="D88" i="49" s="1"/>
  <c r="F88" i="49" s="1"/>
  <c r="F108" i="50"/>
  <c r="F96" i="50"/>
  <c r="F11" i="50"/>
  <c r="F93" i="50"/>
  <c r="F107" i="51"/>
  <c r="F99" i="51"/>
  <c r="F109" i="52"/>
  <c r="I24" i="53"/>
  <c r="I24" i="55"/>
  <c r="G22" i="53"/>
  <c r="G22" i="54"/>
  <c r="G22" i="57"/>
  <c r="G22" i="59"/>
  <c r="G23" i="61"/>
  <c r="F75" i="51"/>
  <c r="F75" i="42"/>
  <c r="E70" i="1"/>
  <c r="E74" i="52"/>
  <c r="E74" i="51"/>
  <c r="E74" i="50"/>
  <c r="E74" i="49"/>
  <c r="E74" i="48"/>
  <c r="E74" i="47"/>
  <c r="E74" i="46"/>
  <c r="E74" i="45"/>
  <c r="E74" i="44"/>
  <c r="E74" i="42"/>
  <c r="E74" i="41"/>
  <c r="E74" i="57"/>
  <c r="E74" i="56"/>
  <c r="E74" i="55"/>
  <c r="E74" i="54"/>
  <c r="E74" i="53"/>
  <c r="E69" i="1"/>
  <c r="E73" i="52"/>
  <c r="E73" i="51"/>
  <c r="E73" i="50"/>
  <c r="E73" i="49"/>
  <c r="E73" i="48"/>
  <c r="E73" i="47"/>
  <c r="E73" i="46"/>
  <c r="E73" i="45"/>
  <c r="E73" i="44"/>
  <c r="E73" i="42"/>
  <c r="E73" i="41"/>
  <c r="E73" i="57"/>
  <c r="E73" i="56"/>
  <c r="E73" i="55"/>
  <c r="E73" i="54"/>
  <c r="E73" i="53"/>
  <c r="E48" i="61"/>
  <c r="F48" i="61" s="1"/>
  <c r="G48" i="61" s="1"/>
  <c r="H48" i="61" s="1"/>
  <c r="I48" i="61" s="1"/>
  <c r="F110" i="61"/>
  <c r="F100" i="60"/>
  <c r="E44" i="59"/>
  <c r="F44" i="59" s="1"/>
  <c r="G44" i="59" s="1"/>
  <c r="H44" i="59" s="1"/>
  <c r="I44" i="59" s="1"/>
  <c r="E42" i="58"/>
  <c r="F42" i="58" s="1"/>
  <c r="G42" i="58" s="1"/>
  <c r="H42" i="58" s="1"/>
  <c r="I42" i="58" s="1"/>
  <c r="D93" i="58"/>
  <c r="D90" i="58" s="1"/>
  <c r="D87" i="58" s="1"/>
  <c r="F87" i="58" s="1"/>
  <c r="E42" i="59"/>
  <c r="F42" i="59" s="1"/>
  <c r="G42" i="59" s="1"/>
  <c r="H42" i="59" s="1"/>
  <c r="I42" i="59" s="1"/>
  <c r="D93" i="59"/>
  <c r="F93" i="59" s="1"/>
  <c r="F107" i="57"/>
  <c r="F101" i="57"/>
  <c r="E96" i="57"/>
  <c r="F96" i="57" s="1"/>
  <c r="F18" i="57"/>
  <c r="D94" i="57" s="1"/>
  <c r="F94" i="57" s="1"/>
  <c r="E42" i="56"/>
  <c r="F42" i="56" s="1"/>
  <c r="G42" i="56" s="1"/>
  <c r="H42" i="56" s="1"/>
  <c r="I42" i="56" s="1"/>
  <c r="E48" i="55"/>
  <c r="F48" i="55" s="1"/>
  <c r="G48" i="55" s="1"/>
  <c r="H48" i="55" s="1"/>
  <c r="I48" i="55" s="1"/>
  <c r="F109" i="55"/>
  <c r="F108" i="55"/>
  <c r="E99" i="55"/>
  <c r="F99" i="55" s="1"/>
  <c r="F93" i="55"/>
  <c r="F101" i="42"/>
  <c r="D95" i="42"/>
  <c r="F95" i="42" s="1"/>
  <c r="F11" i="42"/>
  <c r="F11" i="44"/>
  <c r="F18" i="44"/>
  <c r="D90" i="41"/>
  <c r="D86" i="41" s="1"/>
  <c r="F107" i="45"/>
  <c r="F106" i="45"/>
  <c r="F108" i="46"/>
  <c r="F107" i="46"/>
  <c r="F99" i="46"/>
  <c r="F11" i="48"/>
  <c r="D99" i="48"/>
  <c r="F99" i="48" s="1"/>
  <c r="E95" i="49"/>
  <c r="F95" i="49" s="1"/>
  <c r="F107" i="50"/>
  <c r="F95" i="50"/>
  <c r="F110" i="51"/>
  <c r="F106" i="51"/>
  <c r="H28" i="54"/>
  <c r="H28" i="53"/>
  <c r="H28" i="42"/>
  <c r="I22" i="53"/>
  <c r="I22" i="55"/>
  <c r="E78" i="52"/>
  <c r="E78" i="51"/>
  <c r="E78" i="50"/>
  <c r="E78" i="49"/>
  <c r="E78" i="48"/>
  <c r="E78" i="47"/>
  <c r="E78" i="46"/>
  <c r="E78" i="45"/>
  <c r="E78" i="44"/>
  <c r="E78" i="42"/>
  <c r="E78" i="41"/>
  <c r="E78" i="57"/>
  <c r="E78" i="56"/>
  <c r="E78" i="55"/>
  <c r="E78" i="54"/>
  <c r="E78" i="53"/>
  <c r="F111" i="61"/>
  <c r="F97" i="61"/>
  <c r="C40" i="58"/>
  <c r="E40" i="58" s="1"/>
  <c r="F106" i="59"/>
  <c r="F106" i="57"/>
  <c r="F107" i="56"/>
  <c r="F18" i="56"/>
  <c r="D94" i="56" s="1"/>
  <c r="F94" i="56" s="1"/>
  <c r="F86" i="55"/>
  <c r="F95" i="55"/>
  <c r="F99" i="54"/>
  <c r="F93" i="54"/>
  <c r="F17" i="44"/>
  <c r="C46" i="44" s="1"/>
  <c r="F96" i="45"/>
  <c r="F17" i="51"/>
  <c r="D94" i="51" s="1"/>
  <c r="F94" i="51" s="1"/>
  <c r="F100" i="52"/>
  <c r="J23" i="42"/>
  <c r="K29" i="61"/>
  <c r="G29" i="61"/>
  <c r="K28" i="60"/>
  <c r="G28" i="60"/>
  <c r="K28" i="59"/>
  <c r="G28" i="59"/>
  <c r="K28" i="58"/>
  <c r="G28" i="58"/>
  <c r="K28" i="57"/>
  <c r="G28" i="57"/>
  <c r="K27" i="57"/>
  <c r="K28" i="56"/>
  <c r="G28" i="56"/>
  <c r="J24" i="56"/>
  <c r="J23" i="56"/>
  <c r="F23" i="56"/>
  <c r="F22" i="56"/>
  <c r="I28" i="54"/>
  <c r="K26" i="54"/>
  <c r="H25" i="54"/>
  <c r="F74" i="1"/>
  <c r="D78" i="52"/>
  <c r="F73" i="1"/>
  <c r="D73" i="1"/>
  <c r="E75" i="52"/>
  <c r="G74" i="1"/>
  <c r="J23" i="54"/>
  <c r="E93" i="58"/>
  <c r="F93" i="58" s="1"/>
  <c r="D40" i="46"/>
  <c r="E40" i="46" s="1"/>
  <c r="D40" i="48"/>
  <c r="E40" i="48" s="1"/>
  <c r="F94" i="61"/>
  <c r="F108" i="60"/>
  <c r="E74" i="60"/>
  <c r="F74" i="60" s="1"/>
  <c r="G74" i="60" s="1"/>
  <c r="H74" i="60" s="1"/>
  <c r="I74" i="60" s="1"/>
  <c r="F41" i="58"/>
  <c r="D96" i="60"/>
  <c r="F96" i="60" s="1"/>
  <c r="E43" i="60"/>
  <c r="F43" i="60" s="1"/>
  <c r="G43" i="60" s="1"/>
  <c r="H43" i="60" s="1"/>
  <c r="I43" i="60" s="1"/>
  <c r="D87" i="53"/>
  <c r="F87" i="53" s="1"/>
  <c r="D86" i="53"/>
  <c r="F86" i="53" s="1"/>
  <c r="F90" i="53" s="1"/>
  <c r="E43" i="61"/>
  <c r="F43" i="61" s="1"/>
  <c r="G43" i="61" s="1"/>
  <c r="H43" i="61" s="1"/>
  <c r="I43" i="61" s="1"/>
  <c r="E44" i="60"/>
  <c r="F44" i="60" s="1"/>
  <c r="G44" i="60" s="1"/>
  <c r="H44" i="60" s="1"/>
  <c r="I44" i="60" s="1"/>
  <c r="D40" i="60"/>
  <c r="E40" i="60" s="1"/>
  <c r="F110" i="56"/>
  <c r="F106" i="56"/>
  <c r="D86" i="58"/>
  <c r="F86" i="58" s="1"/>
  <c r="D88" i="58"/>
  <c r="F88" i="58" s="1"/>
  <c r="F110" i="58"/>
  <c r="F106" i="58"/>
  <c r="C41" i="57"/>
  <c r="E41" i="57" s="1"/>
  <c r="F41" i="57" s="1"/>
  <c r="C46" i="59"/>
  <c r="F109" i="60"/>
  <c r="D94" i="58"/>
  <c r="F108" i="56"/>
  <c r="E73" i="58"/>
  <c r="C46" i="58"/>
  <c r="F108" i="61"/>
  <c r="F19" i="61"/>
  <c r="D95" i="61" s="1"/>
  <c r="F95" i="61" s="1"/>
  <c r="F95" i="60"/>
  <c r="F17" i="60"/>
  <c r="F94" i="58"/>
  <c r="D95" i="54"/>
  <c r="F95" i="54" s="1"/>
  <c r="E42" i="54"/>
  <c r="F42" i="54" s="1"/>
  <c r="G42" i="54" s="1"/>
  <c r="H42" i="54" s="1"/>
  <c r="I42" i="54" s="1"/>
  <c r="D40" i="59"/>
  <c r="F97" i="57"/>
  <c r="D95" i="57"/>
  <c r="F95" i="57" s="1"/>
  <c r="E43" i="56"/>
  <c r="F43" i="56" s="1"/>
  <c r="G43" i="56" s="1"/>
  <c r="H43" i="56" s="1"/>
  <c r="I43" i="56" s="1"/>
  <c r="D99" i="56"/>
  <c r="F99" i="56" s="1"/>
  <c r="D93" i="56"/>
  <c r="D90" i="56" s="1"/>
  <c r="E42" i="55"/>
  <c r="F42" i="55" s="1"/>
  <c r="G42" i="55" s="1"/>
  <c r="H42" i="55" s="1"/>
  <c r="I42" i="55" s="1"/>
  <c r="E44" i="53"/>
  <c r="F44" i="53" s="1"/>
  <c r="G44" i="53" s="1"/>
  <c r="H44" i="53" s="1"/>
  <c r="I44" i="53" s="1"/>
  <c r="C46" i="53"/>
  <c r="F99" i="42"/>
  <c r="F94" i="42"/>
  <c r="F109" i="44"/>
  <c r="F86" i="41"/>
  <c r="F107" i="41"/>
  <c r="G41" i="42"/>
  <c r="E46" i="42"/>
  <c r="F46" i="42" s="1"/>
  <c r="G46" i="42" s="1"/>
  <c r="H46" i="42" s="1"/>
  <c r="I46" i="42" s="1"/>
  <c r="C41" i="41"/>
  <c r="E41" i="41" s="1"/>
  <c r="F41" i="41" s="1"/>
  <c r="C46" i="41"/>
  <c r="D86" i="49"/>
  <c r="F86" i="49" s="1"/>
  <c r="D87" i="55"/>
  <c r="F87" i="55" s="1"/>
  <c r="D90" i="44"/>
  <c r="D88" i="44" s="1"/>
  <c r="F88" i="44" s="1"/>
  <c r="G41" i="53"/>
  <c r="E93" i="53"/>
  <c r="F93" i="53" s="1"/>
  <c r="D40" i="53"/>
  <c r="E40" i="53" s="1"/>
  <c r="C41" i="44"/>
  <c r="E41" i="44" s="1"/>
  <c r="F41" i="44" s="1"/>
  <c r="F106" i="55"/>
  <c r="F110" i="53"/>
  <c r="F107" i="44"/>
  <c r="F109" i="41"/>
  <c r="F95" i="41"/>
  <c r="F94" i="41"/>
  <c r="E43" i="53"/>
  <c r="F43" i="53" s="1"/>
  <c r="G43" i="53" s="1"/>
  <c r="H43" i="53" s="1"/>
  <c r="I43" i="53" s="1"/>
  <c r="D96" i="53"/>
  <c r="F96" i="53" s="1"/>
  <c r="C46" i="48"/>
  <c r="D99" i="49"/>
  <c r="F99" i="49" s="1"/>
  <c r="E44" i="49"/>
  <c r="F44" i="49" s="1"/>
  <c r="G44" i="49" s="1"/>
  <c r="H44" i="49" s="1"/>
  <c r="I44" i="49" s="1"/>
  <c r="D87" i="51"/>
  <c r="F87" i="51" s="1"/>
  <c r="E45" i="44"/>
  <c r="F45" i="44" s="1"/>
  <c r="G45" i="44" s="1"/>
  <c r="H45" i="44" s="1"/>
  <c r="I45" i="44" s="1"/>
  <c r="D96" i="42"/>
  <c r="F96" i="42" s="1"/>
  <c r="E48" i="45"/>
  <c r="F48" i="45" s="1"/>
  <c r="G48" i="45" s="1"/>
  <c r="H48" i="45" s="1"/>
  <c r="I48" i="45" s="1"/>
  <c r="F100" i="44"/>
  <c r="E44" i="46"/>
  <c r="F44" i="46" s="1"/>
  <c r="G44" i="46" s="1"/>
  <c r="H44" i="46" s="1"/>
  <c r="I44" i="46" s="1"/>
  <c r="E95" i="45"/>
  <c r="F95" i="45" s="1"/>
  <c r="F100" i="46"/>
  <c r="D95" i="46"/>
  <c r="F95" i="46" s="1"/>
  <c r="F18" i="46"/>
  <c r="D94" i="46" s="1"/>
  <c r="F94" i="46" s="1"/>
  <c r="D93" i="46"/>
  <c r="F95" i="51"/>
  <c r="F110" i="52"/>
  <c r="F106" i="52"/>
  <c r="F99" i="52"/>
  <c r="D99" i="47"/>
  <c r="F99" i="47" s="1"/>
  <c r="E44" i="47"/>
  <c r="F44" i="47" s="1"/>
  <c r="G44" i="47" s="1"/>
  <c r="H44" i="47" s="1"/>
  <c r="I44" i="47" s="1"/>
  <c r="F93" i="44"/>
  <c r="F108" i="45"/>
  <c r="F93" i="45"/>
  <c r="F107" i="47"/>
  <c r="F109" i="48"/>
  <c r="F95" i="48"/>
  <c r="D88" i="51"/>
  <c r="F88" i="51" s="1"/>
  <c r="D93" i="47"/>
  <c r="D90" i="47" s="1"/>
  <c r="D87" i="47" s="1"/>
  <c r="F87" i="47" s="1"/>
  <c r="F18" i="47"/>
  <c r="D94" i="47" s="1"/>
  <c r="F94" i="47" s="1"/>
  <c r="C40" i="54"/>
  <c r="F18" i="45"/>
  <c r="F97" i="46"/>
  <c r="F106" i="48"/>
  <c r="D90" i="50"/>
  <c r="D87" i="50" s="1"/>
  <c r="F87" i="50" s="1"/>
  <c r="F108" i="52"/>
  <c r="F96" i="52"/>
  <c r="F93" i="52"/>
  <c r="E43" i="49"/>
  <c r="F43" i="49" s="1"/>
  <c r="G43" i="49" s="1"/>
  <c r="H43" i="49" s="1"/>
  <c r="I43" i="49" s="1"/>
  <c r="F18" i="49"/>
  <c r="D94" i="49" s="1"/>
  <c r="F94" i="49" s="1"/>
  <c r="E48" i="51"/>
  <c r="F48" i="51" s="1"/>
  <c r="G48" i="51" s="1"/>
  <c r="H48" i="51" s="1"/>
  <c r="I48" i="51" s="1"/>
  <c r="F18" i="50"/>
  <c r="D94" i="50" s="1"/>
  <c r="F94" i="50" s="1"/>
  <c r="E44" i="52"/>
  <c r="F44" i="52" s="1"/>
  <c r="G44" i="52" s="1"/>
  <c r="H44" i="52" s="1"/>
  <c r="I44" i="52" s="1"/>
  <c r="J28" i="61"/>
  <c r="J27" i="60"/>
  <c r="J27" i="59"/>
  <c r="J27" i="58"/>
  <c r="J27" i="57"/>
  <c r="J27" i="56"/>
  <c r="J27" i="55"/>
  <c r="J27" i="54"/>
  <c r="G26" i="53"/>
  <c r="C40" i="50"/>
  <c r="F93" i="49"/>
  <c r="F100" i="51"/>
  <c r="G26" i="41"/>
  <c r="G27" i="61"/>
  <c r="G26" i="60"/>
  <c r="G26" i="59"/>
  <c r="G26" i="58"/>
  <c r="G26" i="57"/>
  <c r="G26" i="56"/>
  <c r="G26" i="55"/>
  <c r="C40" i="49"/>
  <c r="F93" i="48"/>
  <c r="E44" i="50"/>
  <c r="F44" i="50" s="1"/>
  <c r="G44" i="50" s="1"/>
  <c r="H44" i="50" s="1"/>
  <c r="I44" i="50" s="1"/>
  <c r="E43" i="52"/>
  <c r="F43" i="52" s="1"/>
  <c r="G43" i="52" s="1"/>
  <c r="H43" i="52" s="1"/>
  <c r="I43" i="52" s="1"/>
  <c r="D40" i="52"/>
  <c r="E40" i="52" s="1"/>
  <c r="I26" i="48"/>
  <c r="I25" i="48"/>
  <c r="I26" i="47"/>
  <c r="I25" i="47"/>
  <c r="I26" i="46"/>
  <c r="I25" i="46"/>
  <c r="I26" i="45"/>
  <c r="I25" i="45"/>
  <c r="I26" i="44"/>
  <c r="I25" i="44"/>
  <c r="I26" i="42"/>
  <c r="I25" i="42"/>
  <c r="I26" i="41"/>
  <c r="I25" i="41"/>
  <c r="I27" i="61"/>
  <c r="I26" i="61"/>
  <c r="I26" i="60"/>
  <c r="I25" i="60"/>
  <c r="I26" i="59"/>
  <c r="I25" i="59"/>
  <c r="I26" i="58"/>
  <c r="I25" i="58"/>
  <c r="I26" i="57"/>
  <c r="I25" i="57"/>
  <c r="I26" i="56"/>
  <c r="I25" i="56"/>
  <c r="E25" i="56"/>
  <c r="I26" i="55"/>
  <c r="I25" i="55"/>
  <c r="E25" i="55"/>
  <c r="E40" i="50" l="1"/>
  <c r="E40" i="55"/>
  <c r="K29" i="41"/>
  <c r="G65" i="41" s="1"/>
  <c r="K29" i="46"/>
  <c r="G65" i="46" s="1"/>
  <c r="K29" i="47"/>
  <c r="G65" i="47" s="1"/>
  <c r="C82" i="1"/>
  <c r="E82" i="1" s="1"/>
  <c r="E40" i="56"/>
  <c r="E96" i="1"/>
  <c r="D98" i="55"/>
  <c r="F98" i="55" s="1"/>
  <c r="E46" i="55"/>
  <c r="F46" i="55" s="1"/>
  <c r="G46" i="55" s="1"/>
  <c r="H46" i="55" s="1"/>
  <c r="I46" i="55" s="1"/>
  <c r="D86" i="57"/>
  <c r="F86" i="57" s="1"/>
  <c r="D87" i="57"/>
  <c r="F87" i="57" s="1"/>
  <c r="F90" i="57" s="1"/>
  <c r="D88" i="57"/>
  <c r="F88" i="57" s="1"/>
  <c r="D86" i="52"/>
  <c r="F86" i="52" s="1"/>
  <c r="F90" i="52" s="1"/>
  <c r="D87" i="52"/>
  <c r="F87" i="52" s="1"/>
  <c r="D88" i="52"/>
  <c r="F88" i="52" s="1"/>
  <c r="F75" i="54"/>
  <c r="F75" i="53"/>
  <c r="F76" i="61"/>
  <c r="G29" i="56"/>
  <c r="C65" i="56" s="1"/>
  <c r="D16" i="64"/>
  <c r="F75" i="52"/>
  <c r="I29" i="55"/>
  <c r="E65" i="55" s="1"/>
  <c r="G30" i="61"/>
  <c r="C66" i="61" s="1"/>
  <c r="C41" i="51"/>
  <c r="E41" i="51" s="1"/>
  <c r="F41" i="51" s="1"/>
  <c r="F75" i="57"/>
  <c r="F75" i="49"/>
  <c r="G29" i="42"/>
  <c r="C65" i="42" s="1"/>
  <c r="E40" i="44"/>
  <c r="G22" i="56"/>
  <c r="G22" i="52"/>
  <c r="G29" i="52" s="1"/>
  <c r="C65" i="52" s="1"/>
  <c r="G22" i="51"/>
  <c r="G29" i="51" s="1"/>
  <c r="C65" i="51" s="1"/>
  <c r="G22" i="46"/>
  <c r="G22" i="47"/>
  <c r="G29" i="47" s="1"/>
  <c r="C65" i="47" s="1"/>
  <c r="G22" i="45"/>
  <c r="G29" i="45" s="1"/>
  <c r="C65" i="45" s="1"/>
  <c r="G22" i="50"/>
  <c r="G29" i="50" s="1"/>
  <c r="C65" i="50" s="1"/>
  <c r="G22" i="44"/>
  <c r="G22" i="55"/>
  <c r="G29" i="55" s="1"/>
  <c r="C65" i="55" s="1"/>
  <c r="G22" i="48"/>
  <c r="G22" i="49"/>
  <c r="G22" i="42"/>
  <c r="H77" i="58"/>
  <c r="H78" i="61"/>
  <c r="H77" i="60"/>
  <c r="H77" i="59"/>
  <c r="G76" i="52"/>
  <c r="G76" i="59"/>
  <c r="C46" i="51"/>
  <c r="D87" i="49"/>
  <c r="F87" i="49" s="1"/>
  <c r="D90" i="46"/>
  <c r="D88" i="46" s="1"/>
  <c r="F88" i="46" s="1"/>
  <c r="D87" i="41"/>
  <c r="F87" i="41" s="1"/>
  <c r="F90" i="41" s="1"/>
  <c r="E73" i="59"/>
  <c r="F75" i="41"/>
  <c r="F75" i="50"/>
  <c r="G22" i="58"/>
  <c r="E79" i="54"/>
  <c r="E79" i="46"/>
  <c r="H77" i="57"/>
  <c r="H77" i="49"/>
  <c r="G76" i="49"/>
  <c r="G76" i="57"/>
  <c r="G29" i="48"/>
  <c r="C65" i="48" s="1"/>
  <c r="J23" i="53"/>
  <c r="J23" i="60"/>
  <c r="J23" i="45"/>
  <c r="J23" i="48"/>
  <c r="J23" i="44"/>
  <c r="J23" i="47"/>
  <c r="J23" i="58"/>
  <c r="J23" i="59"/>
  <c r="J24" i="61"/>
  <c r="J23" i="41"/>
  <c r="J23" i="50"/>
  <c r="J23" i="46"/>
  <c r="J23" i="52"/>
  <c r="J23" i="49"/>
  <c r="J23" i="51"/>
  <c r="J23" i="55"/>
  <c r="J23" i="57"/>
  <c r="E76" i="52"/>
  <c r="E76" i="50"/>
  <c r="E76" i="42"/>
  <c r="E76" i="51"/>
  <c r="E76" i="46"/>
  <c r="E76" i="49"/>
  <c r="E76" i="56"/>
  <c r="E76" i="48"/>
  <c r="E76" i="55"/>
  <c r="E76" i="59"/>
  <c r="E76" i="45"/>
  <c r="E76" i="41"/>
  <c r="E77" i="61"/>
  <c r="E76" i="47"/>
  <c r="E76" i="44"/>
  <c r="E76" i="54"/>
  <c r="E76" i="60"/>
  <c r="E76" i="57"/>
  <c r="E76" i="53"/>
  <c r="E76" i="58"/>
  <c r="G29" i="54"/>
  <c r="C65" i="54" s="1"/>
  <c r="I29" i="53"/>
  <c r="E65" i="53" s="1"/>
  <c r="F75" i="45"/>
  <c r="I76" i="52"/>
  <c r="I76" i="49"/>
  <c r="I76" i="57"/>
  <c r="I76" i="44"/>
  <c r="I76" i="46"/>
  <c r="I76" i="42"/>
  <c r="I76" i="56"/>
  <c r="I76" i="53"/>
  <c r="I76" i="59"/>
  <c r="I76" i="48"/>
  <c r="I76" i="45"/>
  <c r="I76" i="41"/>
  <c r="I76" i="55"/>
  <c r="I76" i="47"/>
  <c r="I76" i="54"/>
  <c r="I76" i="58"/>
  <c r="I77" i="61"/>
  <c r="I76" i="60"/>
  <c r="I76" i="50"/>
  <c r="D11" i="64"/>
  <c r="G29" i="58"/>
  <c r="G29" i="53"/>
  <c r="E40" i="59"/>
  <c r="C41" i="55"/>
  <c r="E41" i="55" s="1"/>
  <c r="F41" i="55" s="1"/>
  <c r="F75" i="46"/>
  <c r="G22" i="41"/>
  <c r="G29" i="41" s="1"/>
  <c r="C65" i="41" s="1"/>
  <c r="E79" i="41"/>
  <c r="E79" i="50"/>
  <c r="H77" i="53"/>
  <c r="H77" i="45"/>
  <c r="K29" i="53"/>
  <c r="G65" i="53" s="1"/>
  <c r="E40" i="42"/>
  <c r="E55" i="42" s="1"/>
  <c r="C64" i="42" s="1"/>
  <c r="D49" i="1"/>
  <c r="B59" i="1" s="1"/>
  <c r="G76" i="54"/>
  <c r="F29" i="1"/>
  <c r="B60" i="1" s="1"/>
  <c r="G76" i="58"/>
  <c r="G76" i="45"/>
  <c r="G77" i="61"/>
  <c r="D10" i="10"/>
  <c r="F71" i="1"/>
  <c r="G29" i="59"/>
  <c r="C65" i="59" s="1"/>
  <c r="C46" i="57"/>
  <c r="D98" i="57" s="1"/>
  <c r="F98" i="57" s="1"/>
  <c r="D90" i="48"/>
  <c r="D88" i="48" s="1"/>
  <c r="F88" i="48" s="1"/>
  <c r="F75" i="55"/>
  <c r="F75" i="47"/>
  <c r="F93" i="57"/>
  <c r="F102" i="57" s="1"/>
  <c r="G29" i="44"/>
  <c r="C65" i="44" s="1"/>
  <c r="K29" i="52"/>
  <c r="G65" i="52" s="1"/>
  <c r="G29" i="49"/>
  <c r="C65" i="49" s="1"/>
  <c r="F75" i="44"/>
  <c r="G29" i="57"/>
  <c r="C65" i="57" s="1"/>
  <c r="K29" i="56"/>
  <c r="G65" i="56" s="1"/>
  <c r="D25" i="10"/>
  <c r="C41" i="52"/>
  <c r="E41" i="52" s="1"/>
  <c r="F41" i="52" s="1"/>
  <c r="G29" i="60"/>
  <c r="D88" i="55"/>
  <c r="F88" i="55" s="1"/>
  <c r="D90" i="42"/>
  <c r="D88" i="42" s="1"/>
  <c r="F88" i="42" s="1"/>
  <c r="F75" i="56"/>
  <c r="F75" i="48"/>
  <c r="G22" i="60"/>
  <c r="C46" i="52"/>
  <c r="E79" i="44"/>
  <c r="E79" i="52"/>
  <c r="H77" i="55"/>
  <c r="H77" i="47"/>
  <c r="G76" i="51"/>
  <c r="G76" i="42"/>
  <c r="G29" i="46"/>
  <c r="C65" i="46" s="1"/>
  <c r="K29" i="50"/>
  <c r="G65" i="50" s="1"/>
  <c r="K29" i="44"/>
  <c r="G65" i="44" s="1"/>
  <c r="C46" i="47"/>
  <c r="D98" i="47" s="1"/>
  <c r="F98" i="47" s="1"/>
  <c r="I29" i="51"/>
  <c r="E65" i="51" s="1"/>
  <c r="D23" i="64"/>
  <c r="D29" i="10"/>
  <c r="C83" i="1"/>
  <c r="E83" i="1" s="1"/>
  <c r="D10" i="64"/>
  <c r="D17" i="10"/>
  <c r="D27" i="64"/>
  <c r="D11" i="10"/>
  <c r="D12" i="10"/>
  <c r="D29" i="64"/>
  <c r="D23" i="10"/>
  <c r="D31" i="64"/>
  <c r="D15" i="64"/>
  <c r="D16" i="10"/>
  <c r="D24" i="64"/>
  <c r="D86" i="45"/>
  <c r="F86" i="45" s="1"/>
  <c r="D88" i="45"/>
  <c r="F88" i="45" s="1"/>
  <c r="D87" i="45"/>
  <c r="F87" i="45" s="1"/>
  <c r="C46" i="56"/>
  <c r="E46" i="56" s="1"/>
  <c r="F46" i="56" s="1"/>
  <c r="G46" i="56" s="1"/>
  <c r="H46" i="56" s="1"/>
  <c r="I46" i="56" s="1"/>
  <c r="C41" i="56"/>
  <c r="E41" i="56" s="1"/>
  <c r="F41" i="56" s="1"/>
  <c r="E55" i="55"/>
  <c r="C64" i="55" s="1"/>
  <c r="E40" i="54"/>
  <c r="F102" i="55"/>
  <c r="E40" i="49"/>
  <c r="D86" i="42"/>
  <c r="F86" i="42" s="1"/>
  <c r="G78" i="52"/>
  <c r="G78" i="51"/>
  <c r="G78" i="50"/>
  <c r="G78" i="49"/>
  <c r="G78" i="48"/>
  <c r="G78" i="47"/>
  <c r="G78" i="46"/>
  <c r="G78" i="45"/>
  <c r="G78" i="44"/>
  <c r="G78" i="42"/>
  <c r="G78" i="41"/>
  <c r="G78" i="57"/>
  <c r="G78" i="56"/>
  <c r="G78" i="55"/>
  <c r="G78" i="54"/>
  <c r="G78" i="53"/>
  <c r="G79" i="61"/>
  <c r="G78" i="59"/>
  <c r="G78" i="58"/>
  <c r="G78" i="60"/>
  <c r="F74" i="52"/>
  <c r="F74" i="51"/>
  <c r="F74" i="50"/>
  <c r="F74" i="49"/>
  <c r="F74" i="48"/>
  <c r="F74" i="47"/>
  <c r="F74" i="46"/>
  <c r="F74" i="45"/>
  <c r="F74" i="44"/>
  <c r="F74" i="42"/>
  <c r="F74" i="41"/>
  <c r="F74" i="57"/>
  <c r="F74" i="56"/>
  <c r="F74" i="55"/>
  <c r="F74" i="54"/>
  <c r="F70" i="1"/>
  <c r="F75" i="61"/>
  <c r="F74" i="53"/>
  <c r="C84" i="1"/>
  <c r="E84" i="1" s="1"/>
  <c r="D30" i="64"/>
  <c r="D13" i="64"/>
  <c r="D28" i="64"/>
  <c r="D12" i="64"/>
  <c r="D7" i="64"/>
  <c r="D31" i="10"/>
  <c r="D24" i="10"/>
  <c r="D15" i="10"/>
  <c r="D8" i="10"/>
  <c r="D26" i="64"/>
  <c r="D9" i="64"/>
  <c r="D17" i="64"/>
  <c r="V126" i="1"/>
  <c r="B5" i="63" s="1"/>
  <c r="D26" i="10"/>
  <c r="B5" i="8"/>
  <c r="D9" i="10"/>
  <c r="D25" i="64"/>
  <c r="D8" i="64"/>
  <c r="D14" i="64"/>
  <c r="D27" i="10"/>
  <c r="D13" i="10"/>
  <c r="D30" i="10"/>
  <c r="D7" i="10"/>
  <c r="M126" i="1"/>
  <c r="D14" i="10"/>
  <c r="I29" i="54"/>
  <c r="E65" i="54" s="1"/>
  <c r="K30" i="61"/>
  <c r="G66" i="61" s="1"/>
  <c r="K29" i="57"/>
  <c r="G65" i="57" s="1"/>
  <c r="H78" i="52"/>
  <c r="H78" i="50"/>
  <c r="H78" i="49"/>
  <c r="H78" i="48"/>
  <c r="H78" i="47"/>
  <c r="H78" i="46"/>
  <c r="H78" i="45"/>
  <c r="H78" i="44"/>
  <c r="H78" i="42"/>
  <c r="H78" i="41"/>
  <c r="H78" i="57"/>
  <c r="H78" i="56"/>
  <c r="H78" i="55"/>
  <c r="H78" i="54"/>
  <c r="H78" i="53"/>
  <c r="H78" i="51"/>
  <c r="H79" i="61"/>
  <c r="H78" i="59"/>
  <c r="H78" i="58"/>
  <c r="H78" i="60"/>
  <c r="F73" i="52"/>
  <c r="E76" i="1"/>
  <c r="F73" i="51"/>
  <c r="F73" i="50"/>
  <c r="F73" i="49"/>
  <c r="F73" i="48"/>
  <c r="F73" i="47"/>
  <c r="F73" i="46"/>
  <c r="F73" i="45"/>
  <c r="F73" i="44"/>
  <c r="F73" i="42"/>
  <c r="F73" i="41"/>
  <c r="F73" i="57"/>
  <c r="F73" i="56"/>
  <c r="F73" i="55"/>
  <c r="F73" i="54"/>
  <c r="F69" i="1"/>
  <c r="F74" i="61"/>
  <c r="F73" i="53"/>
  <c r="G75" i="51"/>
  <c r="G75" i="50"/>
  <c r="G75" i="49"/>
  <c r="G75" i="48"/>
  <c r="G75" i="47"/>
  <c r="G75" i="46"/>
  <c r="G75" i="45"/>
  <c r="G75" i="44"/>
  <c r="G75" i="42"/>
  <c r="G75" i="41"/>
  <c r="G75" i="57"/>
  <c r="G75" i="56"/>
  <c r="G75" i="55"/>
  <c r="G75" i="54"/>
  <c r="G75" i="53"/>
  <c r="G71" i="1"/>
  <c r="G75" i="52"/>
  <c r="G76" i="61"/>
  <c r="F79" i="52"/>
  <c r="F79" i="51"/>
  <c r="F79" i="50"/>
  <c r="F79" i="49"/>
  <c r="F79" i="48"/>
  <c r="F79" i="47"/>
  <c r="F79" i="46"/>
  <c r="F79" i="45"/>
  <c r="F79" i="44"/>
  <c r="F79" i="42"/>
  <c r="F79" i="41"/>
  <c r="F79" i="57"/>
  <c r="F79" i="56"/>
  <c r="F79" i="55"/>
  <c r="F75" i="1"/>
  <c r="F79" i="53"/>
  <c r="F79" i="54"/>
  <c r="F80" i="61"/>
  <c r="D94" i="54"/>
  <c r="F94" i="54" s="1"/>
  <c r="C41" i="54"/>
  <c r="E41" i="54" s="1"/>
  <c r="F41" i="54" s="1"/>
  <c r="G41" i="54" s="1"/>
  <c r="H41" i="54" s="1"/>
  <c r="K29" i="58"/>
  <c r="G65" i="58" s="1"/>
  <c r="D94" i="59"/>
  <c r="F94" i="59" s="1"/>
  <c r="D90" i="59"/>
  <c r="G77" i="52"/>
  <c r="G77" i="51"/>
  <c r="G77" i="50"/>
  <c r="G77" i="49"/>
  <c r="G77" i="48"/>
  <c r="G77" i="47"/>
  <c r="G77" i="46"/>
  <c r="G77" i="45"/>
  <c r="G77" i="44"/>
  <c r="G77" i="42"/>
  <c r="G77" i="41"/>
  <c r="G77" i="57"/>
  <c r="G77" i="56"/>
  <c r="G77" i="55"/>
  <c r="G77" i="54"/>
  <c r="G77" i="53"/>
  <c r="G77" i="59"/>
  <c r="G77" i="58"/>
  <c r="G78" i="61"/>
  <c r="G77" i="60"/>
  <c r="H22" i="55"/>
  <c r="H29" i="55" s="1"/>
  <c r="D65" i="55" s="1"/>
  <c r="H22" i="53"/>
  <c r="H29" i="53" s="1"/>
  <c r="D65" i="53" s="1"/>
  <c r="H22" i="44"/>
  <c r="H29" i="44" s="1"/>
  <c r="D65" i="44" s="1"/>
  <c r="H22" i="59"/>
  <c r="H29" i="59" s="1"/>
  <c r="D65" i="59" s="1"/>
  <c r="H23" i="61"/>
  <c r="H30" i="61" s="1"/>
  <c r="D66" i="61" s="1"/>
  <c r="H22" i="54"/>
  <c r="H29" i="54" s="1"/>
  <c r="D65" i="54" s="1"/>
  <c r="H22" i="56"/>
  <c r="H29" i="56" s="1"/>
  <c r="D65" i="56" s="1"/>
  <c r="H22" i="45"/>
  <c r="H29" i="45" s="1"/>
  <c r="D65" i="45" s="1"/>
  <c r="H22" i="47"/>
  <c r="H29" i="47" s="1"/>
  <c r="D65" i="47" s="1"/>
  <c r="H22" i="49"/>
  <c r="H29" i="49" s="1"/>
  <c r="H22" i="50"/>
  <c r="H29" i="50" s="1"/>
  <c r="D65" i="50" s="1"/>
  <c r="H22" i="51"/>
  <c r="H29" i="51" s="1"/>
  <c r="H22" i="52"/>
  <c r="H29" i="52" s="1"/>
  <c r="H22" i="58"/>
  <c r="H29" i="58" s="1"/>
  <c r="D65" i="58" s="1"/>
  <c r="H22" i="60"/>
  <c r="H29" i="60" s="1"/>
  <c r="D65" i="60" s="1"/>
  <c r="H22" i="41"/>
  <c r="H29" i="41" s="1"/>
  <c r="D65" i="41" s="1"/>
  <c r="H22" i="42"/>
  <c r="H29" i="42" s="1"/>
  <c r="D65" i="42" s="1"/>
  <c r="H22" i="57"/>
  <c r="H29" i="57" s="1"/>
  <c r="D65" i="57" s="1"/>
  <c r="H22" i="46"/>
  <c r="H29" i="46" s="1"/>
  <c r="D65" i="46" s="1"/>
  <c r="H22" i="48"/>
  <c r="H29" i="48" s="1"/>
  <c r="D65" i="48" s="1"/>
  <c r="G29" i="1"/>
  <c r="F49" i="1"/>
  <c r="D59" i="1" s="1"/>
  <c r="D61" i="1" s="1"/>
  <c r="G35" i="1"/>
  <c r="F93" i="47"/>
  <c r="F93" i="46"/>
  <c r="D94" i="44"/>
  <c r="F94" i="44" s="1"/>
  <c r="D88" i="41"/>
  <c r="F88" i="41" s="1"/>
  <c r="K29" i="59"/>
  <c r="G65" i="59" s="1"/>
  <c r="E77" i="52"/>
  <c r="E77" i="51"/>
  <c r="E77" i="50"/>
  <c r="E77" i="49"/>
  <c r="E77" i="48"/>
  <c r="E77" i="47"/>
  <c r="E77" i="46"/>
  <c r="E77" i="45"/>
  <c r="E77" i="44"/>
  <c r="E77" i="42"/>
  <c r="E77" i="41"/>
  <c r="E77" i="57"/>
  <c r="E77" i="56"/>
  <c r="E77" i="55"/>
  <c r="E77" i="54"/>
  <c r="E77" i="53"/>
  <c r="E77" i="59"/>
  <c r="E77" i="58"/>
  <c r="E80" i="58" s="1"/>
  <c r="E77" i="60"/>
  <c r="E78" i="61"/>
  <c r="E81" i="61" s="1"/>
  <c r="J22" i="54"/>
  <c r="J29" i="54" s="1"/>
  <c r="J22" i="53"/>
  <c r="J29" i="53" s="1"/>
  <c r="F65" i="53" s="1"/>
  <c r="J22" i="56"/>
  <c r="J29" i="56" s="1"/>
  <c r="F65" i="56" s="1"/>
  <c r="J22" i="42"/>
  <c r="J29" i="42" s="1"/>
  <c r="F65" i="42" s="1"/>
  <c r="J22" i="58"/>
  <c r="J29" i="58" s="1"/>
  <c r="F65" i="58" s="1"/>
  <c r="J22" i="60"/>
  <c r="J29" i="60" s="1"/>
  <c r="F65" i="60" s="1"/>
  <c r="J22" i="41"/>
  <c r="J29" i="41" s="1"/>
  <c r="F65" i="41" s="1"/>
  <c r="J22" i="55"/>
  <c r="J29" i="55" s="1"/>
  <c r="F65" i="55" s="1"/>
  <c r="J22" i="57"/>
  <c r="J29" i="57" s="1"/>
  <c r="J22" i="46"/>
  <c r="J22" i="48"/>
  <c r="I29" i="1"/>
  <c r="E60" i="1" s="1"/>
  <c r="J22" i="59"/>
  <c r="J29" i="59" s="1"/>
  <c r="F65" i="59" s="1"/>
  <c r="J23" i="61"/>
  <c r="J30" i="61" s="1"/>
  <c r="J22" i="44"/>
  <c r="J22" i="45"/>
  <c r="J29" i="45" s="1"/>
  <c r="F65" i="45" s="1"/>
  <c r="J22" i="47"/>
  <c r="J29" i="47" s="1"/>
  <c r="F65" i="47" s="1"/>
  <c r="J22" i="49"/>
  <c r="J29" i="49" s="1"/>
  <c r="F65" i="49" s="1"/>
  <c r="J22" i="50"/>
  <c r="J22" i="51"/>
  <c r="J29" i="51" s="1"/>
  <c r="F65" i="51" s="1"/>
  <c r="J22" i="52"/>
  <c r="C41" i="49"/>
  <c r="E41" i="49" s="1"/>
  <c r="F41" i="49" s="1"/>
  <c r="G41" i="49" s="1"/>
  <c r="C46" i="49"/>
  <c r="E46" i="49" s="1"/>
  <c r="F46" i="49" s="1"/>
  <c r="G46" i="49" s="1"/>
  <c r="H46" i="49" s="1"/>
  <c r="I46" i="49" s="1"/>
  <c r="D76" i="1"/>
  <c r="K29" i="60"/>
  <c r="G65" i="60" s="1"/>
  <c r="K29" i="54"/>
  <c r="G65" i="54" s="1"/>
  <c r="F90" i="55"/>
  <c r="C65" i="60"/>
  <c r="C65" i="53"/>
  <c r="G41" i="44"/>
  <c r="D98" i="54"/>
  <c r="F98" i="54" s="1"/>
  <c r="F102" i="54" s="1"/>
  <c r="E46" i="54"/>
  <c r="F46" i="54" s="1"/>
  <c r="G46" i="54" s="1"/>
  <c r="H46" i="54" s="1"/>
  <c r="I46" i="54" s="1"/>
  <c r="D98" i="41"/>
  <c r="F98" i="41" s="1"/>
  <c r="F102" i="41" s="1"/>
  <c r="E46" i="41"/>
  <c r="D98" i="59"/>
  <c r="F98" i="59" s="1"/>
  <c r="F102" i="59" s="1"/>
  <c r="E46" i="59"/>
  <c r="F46" i="59" s="1"/>
  <c r="H41" i="59"/>
  <c r="F55" i="42"/>
  <c r="D64" i="42" s="1"/>
  <c r="C42" i="61"/>
  <c r="E42" i="61" s="1"/>
  <c r="D87" i="46"/>
  <c r="F87" i="46" s="1"/>
  <c r="D98" i="48"/>
  <c r="F98" i="48" s="1"/>
  <c r="F102" i="48" s="1"/>
  <c r="E46" i="48"/>
  <c r="F46" i="48" s="1"/>
  <c r="G46" i="48" s="1"/>
  <c r="H46" i="48" s="1"/>
  <c r="I46" i="48" s="1"/>
  <c r="D87" i="44"/>
  <c r="F87" i="44" s="1"/>
  <c r="D86" i="44"/>
  <c r="F86" i="44" s="1"/>
  <c r="D88" i="54"/>
  <c r="F88" i="54" s="1"/>
  <c r="D86" i="54"/>
  <c r="F86" i="54" s="1"/>
  <c r="D87" i="54"/>
  <c r="F87" i="54" s="1"/>
  <c r="E73" i="60"/>
  <c r="C46" i="60"/>
  <c r="C41" i="60"/>
  <c r="E41" i="60" s="1"/>
  <c r="F41" i="60" s="1"/>
  <c r="F73" i="58"/>
  <c r="D88" i="60"/>
  <c r="F88" i="60" s="1"/>
  <c r="D86" i="60"/>
  <c r="F86" i="60" s="1"/>
  <c r="D87" i="60"/>
  <c r="F87" i="60" s="1"/>
  <c r="G41" i="56"/>
  <c r="G41" i="58"/>
  <c r="D89" i="61"/>
  <c r="F89" i="61" s="1"/>
  <c r="D87" i="61"/>
  <c r="F87" i="61" s="1"/>
  <c r="D88" i="61"/>
  <c r="F88" i="61" s="1"/>
  <c r="I29" i="57"/>
  <c r="E65" i="57" s="1"/>
  <c r="I29" i="59"/>
  <c r="E65" i="59" s="1"/>
  <c r="I30" i="61"/>
  <c r="E66" i="61" s="1"/>
  <c r="I29" i="42"/>
  <c r="I29" i="45"/>
  <c r="I29" i="47"/>
  <c r="F90" i="51"/>
  <c r="C46" i="50"/>
  <c r="F90" i="49"/>
  <c r="C46" i="46"/>
  <c r="F93" i="56"/>
  <c r="D94" i="60"/>
  <c r="F94" i="60" s="1"/>
  <c r="C47" i="61"/>
  <c r="C65" i="58"/>
  <c r="E46" i="51"/>
  <c r="D98" i="51"/>
  <c r="F98" i="51" s="1"/>
  <c r="F102" i="51" s="1"/>
  <c r="D86" i="47"/>
  <c r="F86" i="47" s="1"/>
  <c r="D88" i="47"/>
  <c r="F88" i="47" s="1"/>
  <c r="D98" i="49"/>
  <c r="F98" i="49" s="1"/>
  <c r="F102" i="49" s="1"/>
  <c r="E23" i="64"/>
  <c r="D62" i="53"/>
  <c r="E62" i="53"/>
  <c r="C62" i="53"/>
  <c r="F62" i="53"/>
  <c r="G62" i="53"/>
  <c r="E23" i="10"/>
  <c r="D98" i="58"/>
  <c r="F98" i="58" s="1"/>
  <c r="F102" i="58" s="1"/>
  <c r="E46" i="58"/>
  <c r="E46" i="57"/>
  <c r="F55" i="55"/>
  <c r="D64" i="55" s="1"/>
  <c r="D66" i="55" s="1"/>
  <c r="G41" i="55"/>
  <c r="E55" i="48"/>
  <c r="C64" i="48" s="1"/>
  <c r="C41" i="46"/>
  <c r="E41" i="46" s="1"/>
  <c r="F41" i="46" s="1"/>
  <c r="F90" i="58"/>
  <c r="G41" i="52"/>
  <c r="G41" i="51"/>
  <c r="D86" i="50"/>
  <c r="F86" i="50" s="1"/>
  <c r="D88" i="50"/>
  <c r="F88" i="50" s="1"/>
  <c r="G41" i="48"/>
  <c r="F55" i="48"/>
  <c r="D64" i="48" s="1"/>
  <c r="C46" i="45"/>
  <c r="D94" i="45"/>
  <c r="F94" i="45" s="1"/>
  <c r="C41" i="45"/>
  <c r="E41" i="45" s="1"/>
  <c r="E46" i="44"/>
  <c r="F46" i="44" s="1"/>
  <c r="G46" i="44" s="1"/>
  <c r="H46" i="44" s="1"/>
  <c r="I46" i="44" s="1"/>
  <c r="D98" i="44"/>
  <c r="F98" i="44" s="1"/>
  <c r="F102" i="44" s="1"/>
  <c r="H41" i="53"/>
  <c r="G41" i="41"/>
  <c r="H41" i="42"/>
  <c r="G55" i="42"/>
  <c r="E64" i="42" s="1"/>
  <c r="E46" i="53"/>
  <c r="F46" i="53" s="1"/>
  <c r="G46" i="53" s="1"/>
  <c r="H46" i="53" s="1"/>
  <c r="I46" i="53" s="1"/>
  <c r="D98" i="53"/>
  <c r="F98" i="53" s="1"/>
  <c r="F102" i="53" s="1"/>
  <c r="D87" i="56"/>
  <c r="F87" i="56" s="1"/>
  <c r="D88" i="56"/>
  <c r="F88" i="56" s="1"/>
  <c r="D86" i="56"/>
  <c r="F86" i="56" s="1"/>
  <c r="F73" i="59"/>
  <c r="G41" i="57"/>
  <c r="I29" i="56"/>
  <c r="E65" i="56" s="1"/>
  <c r="I29" i="58"/>
  <c r="E65" i="58" s="1"/>
  <c r="I29" i="60"/>
  <c r="E65" i="60" s="1"/>
  <c r="I29" i="41"/>
  <c r="E65" i="41" s="1"/>
  <c r="I29" i="44"/>
  <c r="I29" i="46"/>
  <c r="I29" i="48"/>
  <c r="C41" i="50"/>
  <c r="E41" i="50" s="1"/>
  <c r="F41" i="50" s="1"/>
  <c r="F102" i="42"/>
  <c r="C41" i="47"/>
  <c r="E41" i="47" s="1"/>
  <c r="C66" i="48" l="1"/>
  <c r="E80" i="59"/>
  <c r="E85" i="1"/>
  <c r="N154" i="1" s="1"/>
  <c r="C26" i="8" s="1"/>
  <c r="C66" i="55"/>
  <c r="D98" i="52"/>
  <c r="F98" i="52" s="1"/>
  <c r="F102" i="52" s="1"/>
  <c r="E46" i="52"/>
  <c r="D66" i="48"/>
  <c r="J29" i="44"/>
  <c r="F65" i="44" s="1"/>
  <c r="D87" i="42"/>
  <c r="F87" i="42" s="1"/>
  <c r="F90" i="42" s="1"/>
  <c r="D87" i="48"/>
  <c r="F87" i="48" s="1"/>
  <c r="D98" i="56"/>
  <c r="F98" i="56" s="1"/>
  <c r="J29" i="50"/>
  <c r="F65" i="50" s="1"/>
  <c r="J29" i="48"/>
  <c r="F65" i="48" s="1"/>
  <c r="D86" i="48"/>
  <c r="F86" i="48" s="1"/>
  <c r="B61" i="1"/>
  <c r="J29" i="52"/>
  <c r="F65" i="52" s="1"/>
  <c r="E46" i="47"/>
  <c r="F46" i="47" s="1"/>
  <c r="G46" i="47" s="1"/>
  <c r="H46" i="47" s="1"/>
  <c r="I46" i="47" s="1"/>
  <c r="J29" i="46"/>
  <c r="F65" i="46" s="1"/>
  <c r="C66" i="42"/>
  <c r="D86" i="46"/>
  <c r="F86" i="46" s="1"/>
  <c r="F90" i="45"/>
  <c r="F91" i="61"/>
  <c r="E31" i="10" s="1"/>
  <c r="F90" i="56"/>
  <c r="E26" i="64" s="1"/>
  <c r="F55" i="54"/>
  <c r="D64" i="54" s="1"/>
  <c r="D66" i="54" s="1"/>
  <c r="D66" i="42"/>
  <c r="F102" i="47"/>
  <c r="F65" i="57"/>
  <c r="F112" i="57"/>
  <c r="F65" i="54"/>
  <c r="F112" i="54"/>
  <c r="F66" i="61"/>
  <c r="F113" i="61"/>
  <c r="H35" i="1"/>
  <c r="H49" i="1" s="1"/>
  <c r="F59" i="1" s="1"/>
  <c r="F61" i="1" s="1"/>
  <c r="G49" i="1"/>
  <c r="E59" i="1" s="1"/>
  <c r="F76" i="1"/>
  <c r="G73" i="51"/>
  <c r="G69" i="1"/>
  <c r="G73" i="50"/>
  <c r="G73" i="49"/>
  <c r="G73" i="48"/>
  <c r="G73" i="47"/>
  <c r="G73" i="46"/>
  <c r="G73" i="45"/>
  <c r="G73" i="44"/>
  <c r="G73" i="42"/>
  <c r="G73" i="41"/>
  <c r="G73" i="57"/>
  <c r="G73" i="56"/>
  <c r="G73" i="55"/>
  <c r="G73" i="54"/>
  <c r="G73" i="53"/>
  <c r="G73" i="52"/>
  <c r="G74" i="61"/>
  <c r="F55" i="49"/>
  <c r="D64" i="49" s="1"/>
  <c r="F90" i="44"/>
  <c r="G62" i="44" s="1"/>
  <c r="F112" i="55"/>
  <c r="F112" i="53"/>
  <c r="E80" i="52"/>
  <c r="E80" i="51"/>
  <c r="E80" i="50"/>
  <c r="E80" i="49"/>
  <c r="E80" i="48"/>
  <c r="E80" i="47"/>
  <c r="E80" i="46"/>
  <c r="E80" i="45"/>
  <c r="E80" i="44"/>
  <c r="E80" i="42"/>
  <c r="E80" i="41"/>
  <c r="E80" i="57"/>
  <c r="E80" i="56"/>
  <c r="E80" i="55"/>
  <c r="E80" i="54"/>
  <c r="E80" i="53"/>
  <c r="D65" i="51"/>
  <c r="F112" i="51"/>
  <c r="D86" i="59"/>
  <c r="F86" i="59" s="1"/>
  <c r="D87" i="59"/>
  <c r="F87" i="59" s="1"/>
  <c r="D88" i="59"/>
  <c r="F88" i="59" s="1"/>
  <c r="F80" i="52"/>
  <c r="F80" i="51"/>
  <c r="F80" i="50"/>
  <c r="F80" i="49"/>
  <c r="F80" i="48"/>
  <c r="F80" i="47"/>
  <c r="F80" i="46"/>
  <c r="F80" i="45"/>
  <c r="F80" i="44"/>
  <c r="F80" i="42"/>
  <c r="F80" i="41"/>
  <c r="F80" i="57"/>
  <c r="F80" i="56"/>
  <c r="F80" i="55"/>
  <c r="F80" i="53"/>
  <c r="F80" i="54"/>
  <c r="F90" i="50"/>
  <c r="D62" i="50" s="1"/>
  <c r="C60" i="1"/>
  <c r="C61" i="1" s="1"/>
  <c r="E104" i="1"/>
  <c r="D65" i="52"/>
  <c r="H71" i="1"/>
  <c r="H75" i="50"/>
  <c r="H75" i="49"/>
  <c r="H75" i="48"/>
  <c r="H75" i="47"/>
  <c r="H75" i="46"/>
  <c r="H75" i="45"/>
  <c r="H75" i="44"/>
  <c r="H75" i="42"/>
  <c r="H75" i="41"/>
  <c r="H75" i="57"/>
  <c r="H75" i="56"/>
  <c r="H75" i="55"/>
  <c r="H75" i="54"/>
  <c r="H75" i="53"/>
  <c r="H75" i="52"/>
  <c r="H75" i="51"/>
  <c r="H76" i="61"/>
  <c r="G74" i="51"/>
  <c r="G70" i="1"/>
  <c r="G74" i="50"/>
  <c r="G74" i="49"/>
  <c r="G74" i="48"/>
  <c r="G74" i="47"/>
  <c r="G74" i="46"/>
  <c r="G74" i="45"/>
  <c r="G74" i="44"/>
  <c r="G74" i="42"/>
  <c r="G74" i="41"/>
  <c r="G74" i="57"/>
  <c r="G74" i="56"/>
  <c r="G74" i="55"/>
  <c r="G74" i="54"/>
  <c r="G74" i="53"/>
  <c r="G74" i="52"/>
  <c r="G75" i="61"/>
  <c r="D65" i="49"/>
  <c r="F112" i="49"/>
  <c r="G79" i="51"/>
  <c r="G75" i="1"/>
  <c r="G79" i="50"/>
  <c r="G79" i="49"/>
  <c r="G79" i="48"/>
  <c r="G79" i="47"/>
  <c r="G79" i="46"/>
  <c r="G79" i="45"/>
  <c r="G79" i="44"/>
  <c r="G79" i="42"/>
  <c r="G79" i="41"/>
  <c r="G79" i="57"/>
  <c r="G79" i="56"/>
  <c r="G79" i="55"/>
  <c r="G79" i="54"/>
  <c r="G79" i="53"/>
  <c r="G79" i="52"/>
  <c r="G80" i="61"/>
  <c r="E61" i="1"/>
  <c r="F81" i="61"/>
  <c r="F112" i="48"/>
  <c r="E65" i="48"/>
  <c r="H41" i="57"/>
  <c r="F41" i="45"/>
  <c r="G55" i="48"/>
  <c r="E64" i="48" s="1"/>
  <c r="H41" i="48"/>
  <c r="H41" i="51"/>
  <c r="G55" i="55"/>
  <c r="E64" i="55" s="1"/>
  <c r="E66" i="55" s="1"/>
  <c r="H41" i="55"/>
  <c r="F46" i="58"/>
  <c r="E55" i="58"/>
  <c r="C64" i="58" s="1"/>
  <c r="C66" i="58" s="1"/>
  <c r="H41" i="49"/>
  <c r="G55" i="49"/>
  <c r="E64" i="49" s="1"/>
  <c r="E66" i="49" s="1"/>
  <c r="E46" i="50"/>
  <c r="F46" i="50" s="1"/>
  <c r="G46" i="50" s="1"/>
  <c r="H46" i="50" s="1"/>
  <c r="I46" i="50" s="1"/>
  <c r="D98" i="50"/>
  <c r="F98" i="50" s="1"/>
  <c r="F102" i="50" s="1"/>
  <c r="F112" i="47"/>
  <c r="E65" i="47"/>
  <c r="F80" i="58"/>
  <c r="G73" i="58"/>
  <c r="E80" i="60"/>
  <c r="F73" i="60"/>
  <c r="E9" i="64"/>
  <c r="D62" i="44"/>
  <c r="E62" i="44"/>
  <c r="I41" i="59"/>
  <c r="H55" i="54"/>
  <c r="F64" i="54" s="1"/>
  <c r="I41" i="54"/>
  <c r="I55" i="54" s="1"/>
  <c r="G64" i="54" s="1"/>
  <c r="G66" i="54" s="1"/>
  <c r="E55" i="44"/>
  <c r="C64" i="44" s="1"/>
  <c r="C66" i="44" s="1"/>
  <c r="G55" i="53"/>
  <c r="E64" i="53" s="1"/>
  <c r="E66" i="53" s="1"/>
  <c r="E67" i="53" s="1"/>
  <c r="E55" i="53"/>
  <c r="C64" i="53" s="1"/>
  <c r="C66" i="53" s="1"/>
  <c r="C67" i="53" s="1"/>
  <c r="C68" i="53" s="1"/>
  <c r="D61" i="53" s="1"/>
  <c r="F90" i="47"/>
  <c r="F112" i="58"/>
  <c r="F102" i="56"/>
  <c r="F55" i="56"/>
  <c r="D64" i="56" s="1"/>
  <c r="D66" i="56" s="1"/>
  <c r="F112" i="56"/>
  <c r="E55" i="59"/>
  <c r="C64" i="59" s="1"/>
  <c r="C66" i="59" s="1"/>
  <c r="E55" i="49"/>
  <c r="C64" i="49" s="1"/>
  <c r="C66" i="49" s="1"/>
  <c r="F41" i="47"/>
  <c r="G41" i="50"/>
  <c r="E62" i="56"/>
  <c r="F62" i="56"/>
  <c r="G62" i="56"/>
  <c r="H41" i="41"/>
  <c r="E28" i="10"/>
  <c r="D62" i="58"/>
  <c r="C62" i="58"/>
  <c r="E28" i="64"/>
  <c r="E62" i="58"/>
  <c r="F62" i="58"/>
  <c r="G62" i="58"/>
  <c r="F46" i="57"/>
  <c r="E55" i="57"/>
  <c r="C64" i="57" s="1"/>
  <c r="C66" i="57" s="1"/>
  <c r="D62" i="49"/>
  <c r="E62" i="49"/>
  <c r="F62" i="49"/>
  <c r="G62" i="49"/>
  <c r="E14" i="64"/>
  <c r="C62" i="49"/>
  <c r="E14" i="10"/>
  <c r="E16" i="10"/>
  <c r="E16" i="64"/>
  <c r="D62" i="51"/>
  <c r="E62" i="51"/>
  <c r="F62" i="51"/>
  <c r="G62" i="51"/>
  <c r="C62" i="51"/>
  <c r="G55" i="56"/>
  <c r="E64" i="56" s="1"/>
  <c r="E66" i="56" s="1"/>
  <c r="H41" i="56"/>
  <c r="D98" i="60"/>
  <c r="F98" i="60" s="1"/>
  <c r="E46" i="60"/>
  <c r="F46" i="60" s="1"/>
  <c r="G46" i="60" s="1"/>
  <c r="H46" i="60" s="1"/>
  <c r="I46" i="60" s="1"/>
  <c r="F42" i="61"/>
  <c r="E7" i="10"/>
  <c r="D62" i="41"/>
  <c r="E62" i="41"/>
  <c r="F62" i="41"/>
  <c r="G62" i="41"/>
  <c r="E7" i="64"/>
  <c r="C62" i="41"/>
  <c r="H41" i="44"/>
  <c r="G55" i="44"/>
  <c r="E64" i="44" s="1"/>
  <c r="E55" i="56"/>
  <c r="C64" i="56" s="1"/>
  <c r="C66" i="56" s="1"/>
  <c r="F112" i="59"/>
  <c r="F112" i="60"/>
  <c r="E55" i="54"/>
  <c r="C64" i="54" s="1"/>
  <c r="C66" i="54" s="1"/>
  <c r="E27" i="64"/>
  <c r="E27" i="10"/>
  <c r="D62" i="57"/>
  <c r="E62" i="57"/>
  <c r="F62" i="57"/>
  <c r="G62" i="57"/>
  <c r="C62" i="57"/>
  <c r="E65" i="44"/>
  <c r="F112" i="44"/>
  <c r="D98" i="45"/>
  <c r="F98" i="45" s="1"/>
  <c r="F102" i="45" s="1"/>
  <c r="E46" i="45"/>
  <c r="F46" i="45" s="1"/>
  <c r="G46" i="45" s="1"/>
  <c r="H46" i="45" s="1"/>
  <c r="I46" i="45" s="1"/>
  <c r="E15" i="10"/>
  <c r="C62" i="50"/>
  <c r="H41" i="52"/>
  <c r="D62" i="52"/>
  <c r="E62" i="52"/>
  <c r="F62" i="52"/>
  <c r="G62" i="52"/>
  <c r="E17" i="10"/>
  <c r="C62" i="52"/>
  <c r="E17" i="64"/>
  <c r="F46" i="51"/>
  <c r="E55" i="51"/>
  <c r="C64" i="51" s="1"/>
  <c r="C66" i="51" s="1"/>
  <c r="C67" i="51" s="1"/>
  <c r="C68" i="51" s="1"/>
  <c r="D61" i="51" s="1"/>
  <c r="D98" i="46"/>
  <c r="F98" i="46" s="1"/>
  <c r="F102" i="46" s="1"/>
  <c r="E46" i="46"/>
  <c r="F112" i="42"/>
  <c r="E65" i="42"/>
  <c r="E66" i="42" s="1"/>
  <c r="G41" i="60"/>
  <c r="F55" i="60"/>
  <c r="D64" i="60" s="1"/>
  <c r="D66" i="60" s="1"/>
  <c r="G46" i="59"/>
  <c r="F55" i="59"/>
  <c r="D64" i="59" s="1"/>
  <c r="D66" i="59" s="1"/>
  <c r="F46" i="41"/>
  <c r="E55" i="41"/>
  <c r="C64" i="41" s="1"/>
  <c r="C66" i="41" s="1"/>
  <c r="F112" i="41"/>
  <c r="F102" i="60"/>
  <c r="F90" i="60"/>
  <c r="F90" i="54"/>
  <c r="F55" i="53"/>
  <c r="D64" i="53" s="1"/>
  <c r="D66" i="53" s="1"/>
  <c r="F55" i="44"/>
  <c r="D64" i="44" s="1"/>
  <c r="D66" i="44" s="1"/>
  <c r="E65" i="46"/>
  <c r="F80" i="59"/>
  <c r="G73" i="59"/>
  <c r="I41" i="42"/>
  <c r="I55" i="42" s="1"/>
  <c r="G64" i="42" s="1"/>
  <c r="G66" i="42" s="1"/>
  <c r="H55" i="42"/>
  <c r="F64" i="42" s="1"/>
  <c r="F66" i="42" s="1"/>
  <c r="I41" i="53"/>
  <c r="I55" i="53" s="1"/>
  <c r="G64" i="53" s="1"/>
  <c r="G66" i="53" s="1"/>
  <c r="G67" i="53" s="1"/>
  <c r="H55" i="53"/>
  <c r="F64" i="53" s="1"/>
  <c r="F66" i="53" s="1"/>
  <c r="F67" i="53" s="1"/>
  <c r="G41" i="46"/>
  <c r="D99" i="61"/>
  <c r="F99" i="61" s="1"/>
  <c r="F103" i="61" s="1"/>
  <c r="E47" i="61"/>
  <c r="F47" i="61" s="1"/>
  <c r="G47" i="61" s="1"/>
  <c r="H47" i="61" s="1"/>
  <c r="I47" i="61" s="1"/>
  <c r="E65" i="45"/>
  <c r="F112" i="45"/>
  <c r="H41" i="58"/>
  <c r="E10" i="64"/>
  <c r="D62" i="45"/>
  <c r="E62" i="45"/>
  <c r="F62" i="45"/>
  <c r="G62" i="45"/>
  <c r="C62" i="45"/>
  <c r="E10" i="10"/>
  <c r="C62" i="55"/>
  <c r="E25" i="64"/>
  <c r="E25" i="10"/>
  <c r="D62" i="55"/>
  <c r="D67" i="55" s="1"/>
  <c r="E62" i="55"/>
  <c r="F62" i="55"/>
  <c r="G62" i="55"/>
  <c r="D67" i="53"/>
  <c r="F90" i="46"/>
  <c r="E55" i="50"/>
  <c r="C64" i="50" s="1"/>
  <c r="C66" i="50" s="1"/>
  <c r="G55" i="54"/>
  <c r="E64" i="54" s="1"/>
  <c r="E66" i="54" s="1"/>
  <c r="E57" i="1" l="1"/>
  <c r="E62" i="1" s="1"/>
  <c r="B57" i="1"/>
  <c r="F57" i="1"/>
  <c r="C57" i="1"/>
  <c r="D5" i="8"/>
  <c r="N126" i="1"/>
  <c r="C67" i="55"/>
  <c r="C68" i="55" s="1"/>
  <c r="D61" i="55" s="1"/>
  <c r="D68" i="55" s="1"/>
  <c r="E61" i="55" s="1"/>
  <c r="W126" i="1"/>
  <c r="C5" i="63" s="1"/>
  <c r="F112" i="50"/>
  <c r="B62" i="1"/>
  <c r="B63" i="1" s="1"/>
  <c r="C56" i="1" s="1"/>
  <c r="W154" i="1"/>
  <c r="D57" i="1"/>
  <c r="D62" i="1" s="1"/>
  <c r="G62" i="42"/>
  <c r="C62" i="42"/>
  <c r="C67" i="42" s="1"/>
  <c r="C68" i="42" s="1"/>
  <c r="D61" i="42" s="1"/>
  <c r="E8" i="10"/>
  <c r="D62" i="42"/>
  <c r="D67" i="42" s="1"/>
  <c r="E62" i="42"/>
  <c r="E67" i="42" s="1"/>
  <c r="F62" i="42"/>
  <c r="F67" i="42" s="1"/>
  <c r="E8" i="64"/>
  <c r="D67" i="50"/>
  <c r="D62" i="56"/>
  <c r="D67" i="56" s="1"/>
  <c r="E15" i="64"/>
  <c r="C62" i="56"/>
  <c r="C67" i="56" s="1"/>
  <c r="C68" i="56" s="1"/>
  <c r="D61" i="56" s="1"/>
  <c r="D68" i="56" s="1"/>
  <c r="E61" i="56" s="1"/>
  <c r="E55" i="47"/>
  <c r="C64" i="47" s="1"/>
  <c r="C66" i="47" s="1"/>
  <c r="C67" i="47" s="1"/>
  <c r="C68" i="47" s="1"/>
  <c r="D61" i="47" s="1"/>
  <c r="F62" i="44"/>
  <c r="F90" i="48"/>
  <c r="E67" i="55"/>
  <c r="E26" i="10"/>
  <c r="E9" i="10"/>
  <c r="F112" i="52"/>
  <c r="C67" i="41"/>
  <c r="C68" i="41" s="1"/>
  <c r="D61" i="41" s="1"/>
  <c r="E62" i="50"/>
  <c r="F63" i="61"/>
  <c r="E66" i="48"/>
  <c r="F46" i="52"/>
  <c r="E55" i="52"/>
  <c r="C64" i="52" s="1"/>
  <c r="C66" i="52" s="1"/>
  <c r="C67" i="52" s="1"/>
  <c r="C68" i="52" s="1"/>
  <c r="D61" i="52" s="1"/>
  <c r="G62" i="50"/>
  <c r="C62" i="44"/>
  <c r="F62" i="50"/>
  <c r="F112" i="46"/>
  <c r="C63" i="61"/>
  <c r="F55" i="50"/>
  <c r="D64" i="50" s="1"/>
  <c r="D66" i="50" s="1"/>
  <c r="F62" i="1"/>
  <c r="G63" i="61"/>
  <c r="E31" i="64"/>
  <c r="F66" i="54"/>
  <c r="D63" i="61"/>
  <c r="E67" i="49"/>
  <c r="C67" i="50"/>
  <c r="C68" i="50" s="1"/>
  <c r="D61" i="50" s="1"/>
  <c r="D68" i="50" s="1"/>
  <c r="E61" i="50" s="1"/>
  <c r="E63" i="61"/>
  <c r="C67" i="44"/>
  <c r="C68" i="44" s="1"/>
  <c r="D61" i="44" s="1"/>
  <c r="C62" i="1"/>
  <c r="G80" i="51"/>
  <c r="G80" i="50"/>
  <c r="G80" i="49"/>
  <c r="G80" i="48"/>
  <c r="G80" i="47"/>
  <c r="G80" i="46"/>
  <c r="G80" i="45"/>
  <c r="G80" i="44"/>
  <c r="G80" i="42"/>
  <c r="G80" i="41"/>
  <c r="G80" i="57"/>
  <c r="G80" i="56"/>
  <c r="G80" i="55"/>
  <c r="G80" i="54"/>
  <c r="G80" i="53"/>
  <c r="G80" i="52"/>
  <c r="D66" i="49"/>
  <c r="D67" i="49" s="1"/>
  <c r="H74" i="52"/>
  <c r="H74" i="50"/>
  <c r="H74" i="49"/>
  <c r="H74" i="48"/>
  <c r="H74" i="47"/>
  <c r="H74" i="46"/>
  <c r="H74" i="45"/>
  <c r="H74" i="44"/>
  <c r="H74" i="42"/>
  <c r="H74" i="41"/>
  <c r="H74" i="57"/>
  <c r="H74" i="56"/>
  <c r="H74" i="55"/>
  <c r="H74" i="54"/>
  <c r="H74" i="53"/>
  <c r="H70" i="1"/>
  <c r="H74" i="51"/>
  <c r="H75" i="61"/>
  <c r="E67" i="56"/>
  <c r="G81" i="61"/>
  <c r="H79" i="52"/>
  <c r="H79" i="50"/>
  <c r="H79" i="49"/>
  <c r="H79" i="48"/>
  <c r="H79" i="47"/>
  <c r="H79" i="46"/>
  <c r="H79" i="45"/>
  <c r="H79" i="44"/>
  <c r="H79" i="42"/>
  <c r="H79" i="41"/>
  <c r="H79" i="57"/>
  <c r="H79" i="56"/>
  <c r="H79" i="55"/>
  <c r="H79" i="54"/>
  <c r="H79" i="53"/>
  <c r="H75" i="1"/>
  <c r="H79" i="51"/>
  <c r="H80" i="61"/>
  <c r="I75" i="51"/>
  <c r="I75" i="52"/>
  <c r="I75" i="50"/>
  <c r="I75" i="49"/>
  <c r="I75" i="48"/>
  <c r="I75" i="47"/>
  <c r="I75" i="46"/>
  <c r="I75" i="45"/>
  <c r="I75" i="44"/>
  <c r="I75" i="42"/>
  <c r="I75" i="41"/>
  <c r="I75" i="57"/>
  <c r="I75" i="56"/>
  <c r="I75" i="55"/>
  <c r="I75" i="54"/>
  <c r="I75" i="53"/>
  <c r="I76" i="61"/>
  <c r="H73" i="52"/>
  <c r="H73" i="50"/>
  <c r="H73" i="49"/>
  <c r="H73" i="48"/>
  <c r="H73" i="47"/>
  <c r="H73" i="46"/>
  <c r="H73" i="45"/>
  <c r="H73" i="44"/>
  <c r="H73" i="42"/>
  <c r="H73" i="41"/>
  <c r="H73" i="57"/>
  <c r="H73" i="56"/>
  <c r="H73" i="55"/>
  <c r="H73" i="54"/>
  <c r="H73" i="53"/>
  <c r="H69" i="1"/>
  <c r="G76" i="1"/>
  <c r="H73" i="51"/>
  <c r="H74" i="61"/>
  <c r="F90" i="59"/>
  <c r="I41" i="58"/>
  <c r="I41" i="52"/>
  <c r="F56" i="61"/>
  <c r="D65" i="61" s="1"/>
  <c r="D67" i="61" s="1"/>
  <c r="D68" i="61" s="1"/>
  <c r="G42" i="61"/>
  <c r="G46" i="57"/>
  <c r="F55" i="57"/>
  <c r="D64" i="57" s="1"/>
  <c r="D66" i="57" s="1"/>
  <c r="I41" i="41"/>
  <c r="C62" i="47"/>
  <c r="E12" i="10"/>
  <c r="E62" i="47"/>
  <c r="E12" i="64"/>
  <c r="D62" i="47"/>
  <c r="G62" i="47"/>
  <c r="F62" i="47"/>
  <c r="F80" i="60"/>
  <c r="G73" i="60"/>
  <c r="H55" i="55"/>
  <c r="F64" i="55" s="1"/>
  <c r="F66" i="55" s="1"/>
  <c r="F67" i="55" s="1"/>
  <c r="I41" i="55"/>
  <c r="I55" i="55" s="1"/>
  <c r="G64" i="55" s="1"/>
  <c r="G66" i="55" s="1"/>
  <c r="G67" i="55" s="1"/>
  <c r="I41" i="48"/>
  <c r="I55" i="48" s="1"/>
  <c r="G64" i="48" s="1"/>
  <c r="G66" i="48" s="1"/>
  <c r="H55" i="48"/>
  <c r="F64" i="48" s="1"/>
  <c r="F66" i="48" s="1"/>
  <c r="E66" i="44"/>
  <c r="C67" i="49"/>
  <c r="C68" i="49" s="1"/>
  <c r="D61" i="49" s="1"/>
  <c r="D67" i="44"/>
  <c r="E30" i="10"/>
  <c r="F62" i="60"/>
  <c r="C62" i="60"/>
  <c r="E62" i="60"/>
  <c r="D62" i="60"/>
  <c r="D67" i="60" s="1"/>
  <c r="E30" i="64"/>
  <c r="G62" i="60"/>
  <c r="G46" i="41"/>
  <c r="F55" i="41"/>
  <c r="D64" i="41" s="1"/>
  <c r="D66" i="41" s="1"/>
  <c r="D67" i="41" s="1"/>
  <c r="H41" i="60"/>
  <c r="G55" i="60"/>
  <c r="E64" i="60" s="1"/>
  <c r="E66" i="60" s="1"/>
  <c r="H55" i="56"/>
  <c r="F64" i="56" s="1"/>
  <c r="F66" i="56" s="1"/>
  <c r="F67" i="56" s="1"/>
  <c r="I41" i="56"/>
  <c r="I55" i="56" s="1"/>
  <c r="G64" i="56" s="1"/>
  <c r="G66" i="56" s="1"/>
  <c r="G67" i="56" s="1"/>
  <c r="G46" i="58"/>
  <c r="F55" i="58"/>
  <c r="D64" i="58" s="1"/>
  <c r="D66" i="58" s="1"/>
  <c r="I41" i="51"/>
  <c r="G41" i="45"/>
  <c r="F55" i="45"/>
  <c r="D64" i="45" s="1"/>
  <c r="D66" i="45" s="1"/>
  <c r="D67" i="45" s="1"/>
  <c r="E56" i="61"/>
  <c r="C65" i="61" s="1"/>
  <c r="C67" i="61" s="1"/>
  <c r="C68" i="61" s="1"/>
  <c r="C69" i="61" s="1"/>
  <c r="D62" i="61" s="1"/>
  <c r="C67" i="57"/>
  <c r="C68" i="57" s="1"/>
  <c r="D61" i="57" s="1"/>
  <c r="E55" i="60"/>
  <c r="C64" i="60" s="1"/>
  <c r="C66" i="60" s="1"/>
  <c r="E67" i="44"/>
  <c r="G80" i="59"/>
  <c r="H73" i="59"/>
  <c r="D62" i="54"/>
  <c r="D67" i="54" s="1"/>
  <c r="E62" i="54"/>
  <c r="E67" i="54" s="1"/>
  <c r="F62" i="54"/>
  <c r="E24" i="10"/>
  <c r="C62" i="54"/>
  <c r="C67" i="54" s="1"/>
  <c r="C68" i="54" s="1"/>
  <c r="D61" i="54" s="1"/>
  <c r="E24" i="64"/>
  <c r="G62" i="54"/>
  <c r="G67" i="54" s="1"/>
  <c r="F46" i="46"/>
  <c r="E55" i="46"/>
  <c r="C64" i="46" s="1"/>
  <c r="C66" i="46" s="1"/>
  <c r="G55" i="50"/>
  <c r="E64" i="50" s="1"/>
  <c r="E66" i="50" s="1"/>
  <c r="H41" i="50"/>
  <c r="G80" i="58"/>
  <c r="H73" i="58"/>
  <c r="D68" i="53"/>
  <c r="E61" i="53" s="1"/>
  <c r="E68" i="53" s="1"/>
  <c r="F61" i="53" s="1"/>
  <c r="F68" i="53" s="1"/>
  <c r="G61" i="53" s="1"/>
  <c r="G68" i="53" s="1"/>
  <c r="C67" i="58"/>
  <c r="C68" i="58" s="1"/>
  <c r="D61" i="58" s="1"/>
  <c r="E55" i="45"/>
  <c r="C64" i="45" s="1"/>
  <c r="C66" i="45" s="1"/>
  <c r="C67" i="45" s="1"/>
  <c r="C68" i="45" s="1"/>
  <c r="D61" i="45" s="1"/>
  <c r="C62" i="46"/>
  <c r="E11" i="10"/>
  <c r="E11" i="64"/>
  <c r="E62" i="46"/>
  <c r="F62" i="46"/>
  <c r="G62" i="46"/>
  <c r="D62" i="46"/>
  <c r="H41" i="46"/>
  <c r="H46" i="59"/>
  <c r="G55" i="59"/>
  <c r="E64" i="59" s="1"/>
  <c r="E66" i="59" s="1"/>
  <c r="G46" i="51"/>
  <c r="F55" i="51"/>
  <c r="D64" i="51" s="1"/>
  <c r="D66" i="51" s="1"/>
  <c r="D67" i="51" s="1"/>
  <c r="D68" i="51" s="1"/>
  <c r="E61" i="51" s="1"/>
  <c r="I41" i="44"/>
  <c r="I55" i="44" s="1"/>
  <c r="G64" i="44" s="1"/>
  <c r="G66" i="44" s="1"/>
  <c r="G67" i="44" s="1"/>
  <c r="H55" i="44"/>
  <c r="F64" i="44" s="1"/>
  <c r="F66" i="44" s="1"/>
  <c r="F55" i="47"/>
  <c r="D64" i="47" s="1"/>
  <c r="D66" i="47" s="1"/>
  <c r="G41" i="47"/>
  <c r="I41" i="49"/>
  <c r="I55" i="49" s="1"/>
  <c r="G64" i="49" s="1"/>
  <c r="G66" i="49" s="1"/>
  <c r="G67" i="49" s="1"/>
  <c r="H55" i="49"/>
  <c r="F64" i="49" s="1"/>
  <c r="F66" i="49" s="1"/>
  <c r="F67" i="49" s="1"/>
  <c r="I41" i="57"/>
  <c r="G67" i="42"/>
  <c r="D67" i="57"/>
  <c r="D67" i="58"/>
  <c r="C63" i="1" l="1"/>
  <c r="D56" i="1" s="1"/>
  <c r="D63" i="1" s="1"/>
  <c r="E56" i="1" s="1"/>
  <c r="E63" i="1" s="1"/>
  <c r="F56" i="1" s="1"/>
  <c r="F63" i="1" s="1"/>
  <c r="D68" i="41"/>
  <c r="E61" i="41" s="1"/>
  <c r="D68" i="44"/>
  <c r="E61" i="44" s="1"/>
  <c r="E68" i="44" s="1"/>
  <c r="F61" i="44" s="1"/>
  <c r="D68" i="49"/>
  <c r="E61" i="49" s="1"/>
  <c r="E68" i="49" s="1"/>
  <c r="F61" i="49" s="1"/>
  <c r="F68" i="49" s="1"/>
  <c r="G61" i="49" s="1"/>
  <c r="G68" i="49" s="1"/>
  <c r="D69" i="61"/>
  <c r="E62" i="61" s="1"/>
  <c r="F62" i="48"/>
  <c r="C62" i="48"/>
  <c r="C67" i="48" s="1"/>
  <c r="C68" i="48" s="1"/>
  <c r="D61" i="48" s="1"/>
  <c r="D68" i="48" s="1"/>
  <c r="E61" i="48" s="1"/>
  <c r="E62" i="48"/>
  <c r="E67" i="48" s="1"/>
  <c r="E13" i="64"/>
  <c r="E13" i="10"/>
  <c r="G62" i="48"/>
  <c r="G67" i="48" s="1"/>
  <c r="D62" i="48"/>
  <c r="D67" i="48" s="1"/>
  <c r="D68" i="54"/>
  <c r="E61" i="54" s="1"/>
  <c r="E68" i="54" s="1"/>
  <c r="F61" i="54" s="1"/>
  <c r="F68" i="54" s="1"/>
  <c r="G61" i="54" s="1"/>
  <c r="G68" i="54" s="1"/>
  <c r="E68" i="55"/>
  <c r="F61" i="55" s="1"/>
  <c r="F68" i="55" s="1"/>
  <c r="G61" i="55" s="1"/>
  <c r="G68" i="55" s="1"/>
  <c r="F67" i="54"/>
  <c r="E67" i="50"/>
  <c r="E68" i="50" s="1"/>
  <c r="F61" i="50" s="1"/>
  <c r="F67" i="44"/>
  <c r="E68" i="56"/>
  <c r="F61" i="56" s="1"/>
  <c r="F68" i="56" s="1"/>
  <c r="G61" i="56" s="1"/>
  <c r="G68" i="56" s="1"/>
  <c r="D68" i="42"/>
  <c r="E61" i="42" s="1"/>
  <c r="E68" i="42" s="1"/>
  <c r="F61" i="42" s="1"/>
  <c r="F68" i="42" s="1"/>
  <c r="G61" i="42" s="1"/>
  <c r="G68" i="42" s="1"/>
  <c r="F67" i="48"/>
  <c r="G46" i="52"/>
  <c r="F55" i="52"/>
  <c r="D64" i="52" s="1"/>
  <c r="D66" i="52" s="1"/>
  <c r="D67" i="52" s="1"/>
  <c r="D68" i="52" s="1"/>
  <c r="E61" i="52" s="1"/>
  <c r="C67" i="60"/>
  <c r="C68" i="60" s="1"/>
  <c r="D61" i="60" s="1"/>
  <c r="D68" i="60" s="1"/>
  <c r="E61" i="60" s="1"/>
  <c r="H80" i="52"/>
  <c r="H80" i="51"/>
  <c r="H80" i="50"/>
  <c r="H80" i="49"/>
  <c r="H80" i="48"/>
  <c r="H80" i="47"/>
  <c r="H80" i="46"/>
  <c r="H80" i="45"/>
  <c r="H80" i="44"/>
  <c r="H80" i="42"/>
  <c r="H80" i="41"/>
  <c r="H80" i="57"/>
  <c r="H80" i="56"/>
  <c r="H80" i="55"/>
  <c r="H80" i="54"/>
  <c r="H80" i="53"/>
  <c r="I79" i="52"/>
  <c r="I79" i="51"/>
  <c r="I79" i="50"/>
  <c r="I79" i="49"/>
  <c r="I79" i="48"/>
  <c r="I79" i="47"/>
  <c r="I79" i="46"/>
  <c r="I79" i="45"/>
  <c r="I79" i="44"/>
  <c r="I79" i="42"/>
  <c r="I79" i="41"/>
  <c r="I79" i="57"/>
  <c r="I79" i="56"/>
  <c r="I79" i="55"/>
  <c r="I79" i="54"/>
  <c r="I79" i="53"/>
  <c r="I80" i="61"/>
  <c r="I74" i="52"/>
  <c r="I74" i="51"/>
  <c r="I74" i="50"/>
  <c r="I74" i="49"/>
  <c r="I74" i="48"/>
  <c r="I74" i="47"/>
  <c r="I74" i="46"/>
  <c r="I74" i="45"/>
  <c r="I74" i="44"/>
  <c r="I74" i="42"/>
  <c r="I74" i="41"/>
  <c r="I74" i="57"/>
  <c r="I74" i="56"/>
  <c r="I74" i="55"/>
  <c r="I74" i="54"/>
  <c r="I74" i="53"/>
  <c r="I75" i="61"/>
  <c r="F62" i="59"/>
  <c r="E62" i="59"/>
  <c r="E67" i="59" s="1"/>
  <c r="C62" i="59"/>
  <c r="C67" i="59" s="1"/>
  <c r="C68" i="59" s="1"/>
  <c r="D61" i="59" s="1"/>
  <c r="D62" i="59"/>
  <c r="D67" i="59" s="1"/>
  <c r="E29" i="64"/>
  <c r="E29" i="10"/>
  <c r="G62" i="59"/>
  <c r="I73" i="52"/>
  <c r="H76" i="1"/>
  <c r="I73" i="51"/>
  <c r="I73" i="50"/>
  <c r="I73" i="49"/>
  <c r="I73" i="48"/>
  <c r="I73" i="47"/>
  <c r="I73" i="46"/>
  <c r="I73" i="45"/>
  <c r="I73" i="44"/>
  <c r="I73" i="42"/>
  <c r="I73" i="41"/>
  <c r="I73" i="57"/>
  <c r="I73" i="56"/>
  <c r="I73" i="55"/>
  <c r="I73" i="54"/>
  <c r="I73" i="53"/>
  <c r="I74" i="61"/>
  <c r="H81" i="61"/>
  <c r="H41" i="47"/>
  <c r="G55" i="47"/>
  <c r="E64" i="47" s="1"/>
  <c r="E66" i="47" s="1"/>
  <c r="E67" i="47" s="1"/>
  <c r="H80" i="59"/>
  <c r="I73" i="59"/>
  <c r="I80" i="59" s="1"/>
  <c r="H41" i="45"/>
  <c r="G55" i="45"/>
  <c r="E64" i="45" s="1"/>
  <c r="E66" i="45" s="1"/>
  <c r="E67" i="45" s="1"/>
  <c r="H46" i="58"/>
  <c r="G55" i="58"/>
  <c r="E64" i="58" s="1"/>
  <c r="E66" i="58" s="1"/>
  <c r="E67" i="58" s="1"/>
  <c r="I41" i="60"/>
  <c r="I55" i="60" s="1"/>
  <c r="G64" i="60" s="1"/>
  <c r="G66" i="60" s="1"/>
  <c r="G67" i="60" s="1"/>
  <c r="H55" i="60"/>
  <c r="F64" i="60" s="1"/>
  <c r="F66" i="60" s="1"/>
  <c r="H46" i="57"/>
  <c r="G55" i="57"/>
  <c r="E64" i="57" s="1"/>
  <c r="E66" i="57" s="1"/>
  <c r="E67" i="57" s="1"/>
  <c r="D68" i="58"/>
  <c r="E61" i="58" s="1"/>
  <c r="E67" i="60"/>
  <c r="D67" i="47"/>
  <c r="D68" i="47" s="1"/>
  <c r="E61" i="47" s="1"/>
  <c r="I46" i="59"/>
  <c r="I55" i="59" s="1"/>
  <c r="G64" i="59" s="1"/>
  <c r="G66" i="59" s="1"/>
  <c r="G67" i="59" s="1"/>
  <c r="H55" i="59"/>
  <c r="F64" i="59" s="1"/>
  <c r="F66" i="59" s="1"/>
  <c r="H55" i="50"/>
  <c r="F64" i="50" s="1"/>
  <c r="F66" i="50" s="1"/>
  <c r="F67" i="50" s="1"/>
  <c r="I41" i="50"/>
  <c r="I55" i="50" s="1"/>
  <c r="G64" i="50" s="1"/>
  <c r="G66" i="50" s="1"/>
  <c r="G67" i="50" s="1"/>
  <c r="D68" i="45"/>
  <c r="E61" i="45" s="1"/>
  <c r="D68" i="57"/>
  <c r="E61" i="57" s="1"/>
  <c r="G46" i="46"/>
  <c r="F55" i="46"/>
  <c r="D64" i="46" s="1"/>
  <c r="D66" i="46" s="1"/>
  <c r="D67" i="46" s="1"/>
  <c r="H46" i="41"/>
  <c r="G55" i="41"/>
  <c r="E64" i="41" s="1"/>
  <c r="E66" i="41" s="1"/>
  <c r="E67" i="41" s="1"/>
  <c r="G80" i="60"/>
  <c r="H73" i="60"/>
  <c r="F67" i="60"/>
  <c r="H46" i="51"/>
  <c r="G55" i="51"/>
  <c r="E64" i="51" s="1"/>
  <c r="E66" i="51" s="1"/>
  <c r="E67" i="51" s="1"/>
  <c r="E68" i="51" s="1"/>
  <c r="F61" i="51" s="1"/>
  <c r="I41" i="46"/>
  <c r="I73" i="58"/>
  <c r="I80" i="58" s="1"/>
  <c r="H80" i="58"/>
  <c r="G56" i="61"/>
  <c r="E65" i="61" s="1"/>
  <c r="E67" i="61" s="1"/>
  <c r="E68" i="61" s="1"/>
  <c r="E69" i="61" s="1"/>
  <c r="F62" i="61" s="1"/>
  <c r="H42" i="61"/>
  <c r="C67" i="46"/>
  <c r="C68" i="46" s="1"/>
  <c r="D61" i="46" s="1"/>
  <c r="F68" i="44" l="1"/>
  <c r="G61" i="44" s="1"/>
  <c r="G68" i="44" s="1"/>
  <c r="E68" i="41"/>
  <c r="F61" i="41" s="1"/>
  <c r="E68" i="60"/>
  <c r="F61" i="60" s="1"/>
  <c r="F68" i="60" s="1"/>
  <c r="G61" i="60" s="1"/>
  <c r="G68" i="60" s="1"/>
  <c r="E68" i="48"/>
  <c r="F61" i="48" s="1"/>
  <c r="F68" i="48" s="1"/>
  <c r="G61" i="48" s="1"/>
  <c r="G68" i="48" s="1"/>
  <c r="F68" i="50"/>
  <c r="G61" i="50" s="1"/>
  <c r="G68" i="50" s="1"/>
  <c r="H46" i="52"/>
  <c r="G55" i="52"/>
  <c r="E64" i="52" s="1"/>
  <c r="E66" i="52" s="1"/>
  <c r="E67" i="52" s="1"/>
  <c r="E68" i="52" s="1"/>
  <c r="F61" i="52" s="1"/>
  <c r="E68" i="47"/>
  <c r="F61" i="47" s="1"/>
  <c r="E68" i="57"/>
  <c r="F61" i="57" s="1"/>
  <c r="F67" i="59"/>
  <c r="I80" i="52"/>
  <c r="F113" i="52" s="1"/>
  <c r="F114" i="52" s="1"/>
  <c r="F116" i="52" s="1"/>
  <c r="I80" i="51"/>
  <c r="F113" i="51" s="1"/>
  <c r="F114" i="51" s="1"/>
  <c r="F116" i="51" s="1"/>
  <c r="I80" i="50"/>
  <c r="F113" i="50" s="1"/>
  <c r="F114" i="50" s="1"/>
  <c r="F116" i="50" s="1"/>
  <c r="I80" i="49"/>
  <c r="F113" i="49" s="1"/>
  <c r="F114" i="49" s="1"/>
  <c r="F116" i="49" s="1"/>
  <c r="I80" i="48"/>
  <c r="I80" i="47"/>
  <c r="F113" i="47" s="1"/>
  <c r="F114" i="47" s="1"/>
  <c r="F116" i="47" s="1"/>
  <c r="I80" i="46"/>
  <c r="F113" i="46" s="1"/>
  <c r="F114" i="46" s="1"/>
  <c r="F116" i="46" s="1"/>
  <c r="I80" i="45"/>
  <c r="F113" i="45" s="1"/>
  <c r="F114" i="45" s="1"/>
  <c r="F116" i="45" s="1"/>
  <c r="I80" i="44"/>
  <c r="F113" i="44" s="1"/>
  <c r="F114" i="44" s="1"/>
  <c r="F116" i="44" s="1"/>
  <c r="I80" i="42"/>
  <c r="I80" i="41"/>
  <c r="F113" i="41" s="1"/>
  <c r="F114" i="41" s="1"/>
  <c r="F116" i="41" s="1"/>
  <c r="I80" i="57"/>
  <c r="F113" i="57" s="1"/>
  <c r="F114" i="57" s="1"/>
  <c r="F116" i="57" s="1"/>
  <c r="I80" i="56"/>
  <c r="F113" i="56" s="1"/>
  <c r="F114" i="56" s="1"/>
  <c r="F116" i="56" s="1"/>
  <c r="I80" i="55"/>
  <c r="F113" i="55" s="1"/>
  <c r="F114" i="55" s="1"/>
  <c r="F116" i="55" s="1"/>
  <c r="I80" i="54"/>
  <c r="F113" i="54" s="1"/>
  <c r="F114" i="54" s="1"/>
  <c r="F116" i="54" s="1"/>
  <c r="I80" i="53"/>
  <c r="F113" i="53" s="1"/>
  <c r="F114" i="53" s="1"/>
  <c r="F116" i="53" s="1"/>
  <c r="F113" i="59"/>
  <c r="F114" i="59" s="1"/>
  <c r="F116" i="59" s="1"/>
  <c r="F122" i="59" s="1"/>
  <c r="I29" i="64" s="1"/>
  <c r="I81" i="61"/>
  <c r="F114" i="61" s="1"/>
  <c r="F115" i="61" s="1"/>
  <c r="F117" i="61" s="1"/>
  <c r="E105" i="1"/>
  <c r="E106" i="1" s="1"/>
  <c r="E108" i="1" s="1"/>
  <c r="F113" i="48"/>
  <c r="F114" i="48" s="1"/>
  <c r="F116" i="48" s="1"/>
  <c r="F113" i="58"/>
  <c r="F114" i="58" s="1"/>
  <c r="F116" i="58" s="1"/>
  <c r="F122" i="58" s="1"/>
  <c r="I28" i="64" s="1"/>
  <c r="E68" i="45"/>
  <c r="F61" i="45" s="1"/>
  <c r="E68" i="58"/>
  <c r="F61" i="58" s="1"/>
  <c r="D68" i="59"/>
  <c r="E61" i="59" s="1"/>
  <c r="E68" i="59" s="1"/>
  <c r="F61" i="59" s="1"/>
  <c r="F113" i="42"/>
  <c r="F114" i="42" s="1"/>
  <c r="F116" i="42" s="1"/>
  <c r="H56" i="61"/>
  <c r="F65" i="61" s="1"/>
  <c r="F67" i="61" s="1"/>
  <c r="F68" i="61" s="1"/>
  <c r="F69" i="61" s="1"/>
  <c r="G62" i="61" s="1"/>
  <c r="I42" i="61"/>
  <c r="I56" i="61" s="1"/>
  <c r="G65" i="61" s="1"/>
  <c r="G67" i="61" s="1"/>
  <c r="G68" i="61" s="1"/>
  <c r="I46" i="41"/>
  <c r="I55" i="41" s="1"/>
  <c r="G64" i="41" s="1"/>
  <c r="G66" i="41" s="1"/>
  <c r="G67" i="41" s="1"/>
  <c r="H55" i="41"/>
  <c r="F64" i="41" s="1"/>
  <c r="F66" i="41" s="1"/>
  <c r="F67" i="41" s="1"/>
  <c r="I41" i="47"/>
  <c r="I55" i="47" s="1"/>
  <c r="G64" i="47" s="1"/>
  <c r="G66" i="47" s="1"/>
  <c r="G67" i="47" s="1"/>
  <c r="H55" i="47"/>
  <c r="F64" i="47" s="1"/>
  <c r="F66" i="47" s="1"/>
  <c r="F67" i="47" s="1"/>
  <c r="I46" i="51"/>
  <c r="I55" i="51" s="1"/>
  <c r="G64" i="51" s="1"/>
  <c r="G66" i="51" s="1"/>
  <c r="G67" i="51" s="1"/>
  <c r="H55" i="51"/>
  <c r="F64" i="51" s="1"/>
  <c r="F66" i="51" s="1"/>
  <c r="F67" i="51" s="1"/>
  <c r="F68" i="51" s="1"/>
  <c r="G61" i="51" s="1"/>
  <c r="I46" i="57"/>
  <c r="I55" i="57" s="1"/>
  <c r="G64" i="57" s="1"/>
  <c r="G66" i="57" s="1"/>
  <c r="G67" i="57" s="1"/>
  <c r="H55" i="57"/>
  <c r="F64" i="57" s="1"/>
  <c r="F66" i="57" s="1"/>
  <c r="F67" i="57" s="1"/>
  <c r="I46" i="58"/>
  <c r="I55" i="58" s="1"/>
  <c r="G64" i="58" s="1"/>
  <c r="G66" i="58" s="1"/>
  <c r="G67" i="58" s="1"/>
  <c r="H55" i="58"/>
  <c r="F64" i="58" s="1"/>
  <c r="F66" i="58" s="1"/>
  <c r="F67" i="58" s="1"/>
  <c r="H46" i="46"/>
  <c r="G55" i="46"/>
  <c r="E64" i="46" s="1"/>
  <c r="E66" i="46" s="1"/>
  <c r="E67" i="46" s="1"/>
  <c r="I73" i="60"/>
  <c r="I80" i="60" s="1"/>
  <c r="H80" i="60"/>
  <c r="I41" i="45"/>
  <c r="I55" i="45" s="1"/>
  <c r="G64" i="45" s="1"/>
  <c r="G66" i="45" s="1"/>
  <c r="G67" i="45" s="1"/>
  <c r="H55" i="45"/>
  <c r="F64" i="45" s="1"/>
  <c r="F66" i="45" s="1"/>
  <c r="F67" i="45" s="1"/>
  <c r="D68" i="46"/>
  <c r="E61" i="46" s="1"/>
  <c r="F68" i="41" l="1"/>
  <c r="G61" i="41" s="1"/>
  <c r="F68" i="45"/>
  <c r="G61" i="45" s="1"/>
  <c r="E68" i="46"/>
  <c r="F61" i="46" s="1"/>
  <c r="I46" i="52"/>
  <c r="I55" i="52" s="1"/>
  <c r="G64" i="52" s="1"/>
  <c r="G66" i="52" s="1"/>
  <c r="G67" i="52" s="1"/>
  <c r="H55" i="52"/>
  <c r="F64" i="52" s="1"/>
  <c r="F66" i="52" s="1"/>
  <c r="F67" i="52" s="1"/>
  <c r="F68" i="52"/>
  <c r="G61" i="52" s="1"/>
  <c r="F68" i="47"/>
  <c r="G61" i="47" s="1"/>
  <c r="G68" i="47" s="1"/>
  <c r="F68" i="57"/>
  <c r="G61" i="57" s="1"/>
  <c r="G68" i="57" s="1"/>
  <c r="F68" i="58"/>
  <c r="G61" i="58" s="1"/>
  <c r="G68" i="58" s="1"/>
  <c r="F68" i="59"/>
  <c r="G61" i="59" s="1"/>
  <c r="G68" i="59" s="1"/>
  <c r="F126" i="59"/>
  <c r="F121" i="59"/>
  <c r="H29" i="64" s="1"/>
  <c r="F120" i="58"/>
  <c r="G28" i="64" s="1"/>
  <c r="F125" i="58"/>
  <c r="G28" i="10" s="1"/>
  <c r="F120" i="59"/>
  <c r="G29" i="64" s="1"/>
  <c r="F28" i="64"/>
  <c r="F121" i="58"/>
  <c r="H28" i="64" s="1"/>
  <c r="F29" i="64"/>
  <c r="F127" i="58"/>
  <c r="I28" i="10" s="1"/>
  <c r="F125" i="59"/>
  <c r="G29" i="10" s="1"/>
  <c r="F127" i="59"/>
  <c r="I29" i="10" s="1"/>
  <c r="F126" i="58"/>
  <c r="F122" i="45"/>
  <c r="I10" i="64" s="1"/>
  <c r="F127" i="45"/>
  <c r="I10" i="10" s="1"/>
  <c r="F120" i="45"/>
  <c r="G10" i="64" s="1"/>
  <c r="F121" i="45"/>
  <c r="H10" i="64" s="1"/>
  <c r="F125" i="45"/>
  <c r="G10" i="10" s="1"/>
  <c r="F126" i="45"/>
  <c r="F121" i="44"/>
  <c r="H9" i="64" s="1"/>
  <c r="F125" i="44"/>
  <c r="G9" i="10" s="1"/>
  <c r="F122" i="44"/>
  <c r="I9" i="64" s="1"/>
  <c r="F120" i="44"/>
  <c r="G9" i="64" s="1"/>
  <c r="F126" i="44"/>
  <c r="F127" i="44"/>
  <c r="I9" i="10" s="1"/>
  <c r="F122" i="57"/>
  <c r="I27" i="64" s="1"/>
  <c r="F121" i="57"/>
  <c r="H27" i="64" s="1"/>
  <c r="F27" i="64"/>
  <c r="F120" i="57"/>
  <c r="G27" i="64" s="1"/>
  <c r="F126" i="57"/>
  <c r="F125" i="57"/>
  <c r="G27" i="10" s="1"/>
  <c r="F127" i="57"/>
  <c r="I27" i="10" s="1"/>
  <c r="F125" i="53"/>
  <c r="G23" i="10" s="1"/>
  <c r="F121" i="53"/>
  <c r="H23" i="64" s="1"/>
  <c r="F126" i="53"/>
  <c r="F122" i="53"/>
  <c r="I23" i="64" s="1"/>
  <c r="F127" i="53"/>
  <c r="I23" i="10" s="1"/>
  <c r="F23" i="64"/>
  <c r="F120" i="53"/>
  <c r="G23" i="64" s="1"/>
  <c r="F121" i="54"/>
  <c r="H24" i="64" s="1"/>
  <c r="F126" i="54"/>
  <c r="F24" i="64"/>
  <c r="F122" i="54"/>
  <c r="I24" i="64" s="1"/>
  <c r="F127" i="54"/>
  <c r="I24" i="10" s="1"/>
  <c r="F120" i="54"/>
  <c r="G24" i="64" s="1"/>
  <c r="F125" i="54"/>
  <c r="G24" i="10" s="1"/>
  <c r="F126" i="42"/>
  <c r="F125" i="42"/>
  <c r="G8" i="10" s="1"/>
  <c r="F122" i="42"/>
  <c r="I8" i="64" s="1"/>
  <c r="F120" i="42"/>
  <c r="G8" i="64" s="1"/>
  <c r="F121" i="42"/>
  <c r="H8" i="64" s="1"/>
  <c r="F127" i="42"/>
  <c r="I8" i="10" s="1"/>
  <c r="F127" i="41"/>
  <c r="I7" i="10" s="1"/>
  <c r="F126" i="41"/>
  <c r="F121" i="41"/>
  <c r="H7" i="64" s="1"/>
  <c r="F120" i="41"/>
  <c r="G7" i="64" s="1"/>
  <c r="F122" i="41"/>
  <c r="I7" i="64" s="1"/>
  <c r="F125" i="41"/>
  <c r="G7" i="10" s="1"/>
  <c r="G69" i="61"/>
  <c r="F12" i="64"/>
  <c r="F7" i="64"/>
  <c r="F14" i="64"/>
  <c r="E117" i="1"/>
  <c r="E114" i="1"/>
  <c r="E118" i="1"/>
  <c r="F8" i="64"/>
  <c r="F17" i="64"/>
  <c r="F16" i="64"/>
  <c r="F13" i="64"/>
  <c r="F11" i="64"/>
  <c r="F9" i="64"/>
  <c r="F13" i="10"/>
  <c r="F30" i="10"/>
  <c r="F12" i="10"/>
  <c r="F31" i="10"/>
  <c r="F15" i="10"/>
  <c r="F10" i="10"/>
  <c r="E112" i="1"/>
  <c r="E116" i="1"/>
  <c r="F15" i="64"/>
  <c r="F9" i="10"/>
  <c r="F10" i="64"/>
  <c r="F23" i="10"/>
  <c r="E113" i="1"/>
  <c r="F11" i="10"/>
  <c r="F25" i="10"/>
  <c r="F26" i="10"/>
  <c r="F8" i="10"/>
  <c r="F7" i="10" s="1"/>
  <c r="F27" i="10"/>
  <c r="O126" i="1"/>
  <c r="F24" i="10"/>
  <c r="F29" i="10"/>
  <c r="O154" i="1"/>
  <c r="E26" i="8" s="1"/>
  <c r="X154" i="1"/>
  <c r="F17" i="10"/>
  <c r="X126" i="1"/>
  <c r="D5" i="63" s="1"/>
  <c r="F16" i="10"/>
  <c r="F28" i="10"/>
  <c r="C5" i="8"/>
  <c r="F14" i="10"/>
  <c r="F120" i="46"/>
  <c r="G11" i="64" s="1"/>
  <c r="F125" i="46"/>
  <c r="G11" i="10" s="1"/>
  <c r="F127" i="46"/>
  <c r="I11" i="10" s="1"/>
  <c r="F121" i="46"/>
  <c r="H11" i="64" s="1"/>
  <c r="F122" i="46"/>
  <c r="I11" i="64" s="1"/>
  <c r="F126" i="46"/>
  <c r="F127" i="48"/>
  <c r="I13" i="10" s="1"/>
  <c r="F126" i="48"/>
  <c r="F122" i="48"/>
  <c r="I13" i="64" s="1"/>
  <c r="F121" i="48"/>
  <c r="H13" i="64" s="1"/>
  <c r="F125" i="48"/>
  <c r="G13" i="10" s="1"/>
  <c r="F120" i="48"/>
  <c r="G13" i="64" s="1"/>
  <c r="F125" i="50"/>
  <c r="G15" i="10" s="1"/>
  <c r="F120" i="50"/>
  <c r="G15" i="64" s="1"/>
  <c r="F122" i="50"/>
  <c r="I15" i="64" s="1"/>
  <c r="F126" i="50"/>
  <c r="F127" i="50"/>
  <c r="I15" i="10" s="1"/>
  <c r="F121" i="50"/>
  <c r="H15" i="64" s="1"/>
  <c r="F26" i="64"/>
  <c r="F120" i="56"/>
  <c r="G26" i="64" s="1"/>
  <c r="F121" i="56"/>
  <c r="H26" i="64" s="1"/>
  <c r="F127" i="56"/>
  <c r="I26" i="10" s="1"/>
  <c r="F126" i="56"/>
  <c r="F125" i="56"/>
  <c r="G26" i="10" s="1"/>
  <c r="F122" i="56"/>
  <c r="I26" i="64" s="1"/>
  <c r="F125" i="52"/>
  <c r="G17" i="10" s="1"/>
  <c r="F120" i="52"/>
  <c r="G17" i="64" s="1"/>
  <c r="F127" i="52"/>
  <c r="I17" i="10" s="1"/>
  <c r="F121" i="52"/>
  <c r="H17" i="64" s="1"/>
  <c r="F126" i="52"/>
  <c r="F122" i="52"/>
  <c r="I17" i="64" s="1"/>
  <c r="F121" i="47"/>
  <c r="H12" i="64" s="1"/>
  <c r="F120" i="47"/>
  <c r="G12" i="64" s="1"/>
  <c r="F127" i="47"/>
  <c r="I12" i="10" s="1"/>
  <c r="F122" i="47"/>
  <c r="I12" i="64" s="1"/>
  <c r="F126" i="47"/>
  <c r="F125" i="47"/>
  <c r="G12" i="10" s="1"/>
  <c r="F126" i="49"/>
  <c r="F125" i="49"/>
  <c r="G14" i="10" s="1"/>
  <c r="F127" i="49"/>
  <c r="I14" i="10" s="1"/>
  <c r="F120" i="49"/>
  <c r="G14" i="64" s="1"/>
  <c r="F121" i="49"/>
  <c r="H14" i="64" s="1"/>
  <c r="F122" i="49"/>
  <c r="I14" i="64" s="1"/>
  <c r="F121" i="61"/>
  <c r="G31" i="64" s="1"/>
  <c r="F128" i="61"/>
  <c r="I31" i="10" s="1"/>
  <c r="F123" i="61"/>
  <c r="I31" i="64" s="1"/>
  <c r="F122" i="61"/>
  <c r="H31" i="64" s="1"/>
  <c r="F126" i="61"/>
  <c r="G31" i="10" s="1"/>
  <c r="F31" i="64"/>
  <c r="F127" i="61"/>
  <c r="F25" i="64"/>
  <c r="F126" i="55"/>
  <c r="F122" i="55"/>
  <c r="I25" i="64" s="1"/>
  <c r="F120" i="55"/>
  <c r="G25" i="64" s="1"/>
  <c r="F121" i="55"/>
  <c r="H25" i="64" s="1"/>
  <c r="F125" i="55"/>
  <c r="G25" i="10" s="1"/>
  <c r="F127" i="55"/>
  <c r="I25" i="10" s="1"/>
  <c r="F121" i="51"/>
  <c r="H16" i="64" s="1"/>
  <c r="F120" i="51"/>
  <c r="G16" i="64" s="1"/>
  <c r="F126" i="51"/>
  <c r="F122" i="51"/>
  <c r="I16" i="64" s="1"/>
  <c r="F127" i="51"/>
  <c r="I16" i="10" s="1"/>
  <c r="F125" i="51"/>
  <c r="G16" i="10" s="1"/>
  <c r="F113" i="60"/>
  <c r="F114" i="60" s="1"/>
  <c r="F116" i="60" s="1"/>
  <c r="F126" i="60" s="1"/>
  <c r="G68" i="51"/>
  <c r="G68" i="41"/>
  <c r="G68" i="45"/>
  <c r="I46" i="46"/>
  <c r="I55" i="46" s="1"/>
  <c r="G64" i="46" s="1"/>
  <c r="G66" i="46" s="1"/>
  <c r="G67" i="46" s="1"/>
  <c r="H55" i="46"/>
  <c r="F64" i="46" s="1"/>
  <c r="F66" i="46" s="1"/>
  <c r="F67" i="46" s="1"/>
  <c r="F68" i="46" l="1"/>
  <c r="G61" i="46" s="1"/>
  <c r="G68" i="52"/>
  <c r="G68" i="46"/>
  <c r="F121" i="60"/>
  <c r="H30" i="64" s="1"/>
  <c r="F30" i="64"/>
  <c r="F120" i="60"/>
  <c r="G30" i="64" s="1"/>
  <c r="F125" i="60"/>
  <c r="G30" i="10" s="1"/>
  <c r="F127" i="60"/>
  <c r="I30" i="10" s="1"/>
  <c r="Y154" i="1"/>
  <c r="Y126" i="1"/>
  <c r="E5" i="63" s="1"/>
  <c r="E5" i="8"/>
  <c r="P154" i="1"/>
  <c r="F26" i="8" s="1"/>
  <c r="P126" i="1"/>
  <c r="H13" i="10"/>
  <c r="H17" i="10"/>
  <c r="H8" i="10"/>
  <c r="H23" i="10"/>
  <c r="H12" i="10"/>
  <c r="H14" i="10"/>
  <c r="H24" i="10"/>
  <c r="H9" i="10"/>
  <c r="H27" i="10"/>
  <c r="H29" i="10"/>
  <c r="H25" i="10"/>
  <c r="H26" i="10"/>
  <c r="H15" i="10"/>
  <c r="H31" i="10"/>
  <c r="Q126" i="1"/>
  <c r="H10" i="10"/>
  <c r="H30" i="10"/>
  <c r="F5" i="8"/>
  <c r="H28" i="10"/>
  <c r="H16" i="10"/>
  <c r="H7" i="10"/>
  <c r="Q154" i="1"/>
  <c r="G26" i="8" s="1"/>
  <c r="H11" i="10"/>
  <c r="F122" i="60"/>
  <c r="I30" i="64" s="1"/>
  <c r="Z126" i="1"/>
  <c r="F5" i="63" s="1"/>
  <c r="Z154" i="1"/>
  <c r="AA126" i="1"/>
  <c r="G5" i="63" s="1"/>
  <c r="AA154" i="1"/>
  <c r="R154" i="1"/>
  <c r="R126" i="1"/>
  <c r="G5" i="8"/>
</calcChain>
</file>

<file path=xl/sharedStrings.xml><?xml version="1.0" encoding="utf-8"?>
<sst xmlns="http://schemas.openxmlformats.org/spreadsheetml/2006/main" count="2802" uniqueCount="160">
  <si>
    <t>Capital Item</t>
  </si>
  <si>
    <t>Unit Cost</t>
  </si>
  <si>
    <t>Years of Life</t>
  </si>
  <si>
    <t>Year 1</t>
  </si>
  <si>
    <t>Year 2</t>
  </si>
  <si>
    <t>Year 3</t>
  </si>
  <si>
    <t>Year 4</t>
  </si>
  <si>
    <t>Year 5</t>
  </si>
  <si>
    <t>Nursery Bag</t>
  </si>
  <si>
    <t>Growout Bag</t>
  </si>
  <si>
    <t>Wet Suit</t>
  </si>
  <si>
    <t>Boat</t>
  </si>
  <si>
    <t>Investment and Capital Asset Requirements</t>
  </si>
  <si>
    <t>Cost Item</t>
  </si>
  <si>
    <t>Variable Costs</t>
  </si>
  <si>
    <t>Seed</t>
  </si>
  <si>
    <t xml:space="preserve">Boat Fuel </t>
  </si>
  <si>
    <t>Truck Fuel</t>
  </si>
  <si>
    <t>Work Gloves/Booties</t>
  </si>
  <si>
    <t>Overhead</t>
  </si>
  <si>
    <t xml:space="preserve">Bookkeeping </t>
  </si>
  <si>
    <t xml:space="preserve">Licenses </t>
  </si>
  <si>
    <t xml:space="preserve">Total Costs </t>
  </si>
  <si>
    <t>Beginning Cash</t>
  </si>
  <si>
    <t>Cash Receipts</t>
  </si>
  <si>
    <t>Cash Outflow</t>
  </si>
  <si>
    <t xml:space="preserve">Annual Cash Position </t>
  </si>
  <si>
    <t xml:space="preserve">Ending Cash Position </t>
  </si>
  <si>
    <t>Total Outflow</t>
  </si>
  <si>
    <t>Item</t>
  </si>
  <si>
    <t>Units</t>
  </si>
  <si>
    <t>Price/Unit</t>
  </si>
  <si>
    <t>Total Value/Cost</t>
  </si>
  <si>
    <t>Revenues</t>
  </si>
  <si>
    <t>1" clams</t>
  </si>
  <si>
    <t>7/8" clams</t>
  </si>
  <si>
    <t>pasta</t>
  </si>
  <si>
    <t>Total Variable Costs</t>
  </si>
  <si>
    <t xml:space="preserve">Fixed Costs </t>
  </si>
  <si>
    <t>Capital Replacement</t>
  </si>
  <si>
    <t xml:space="preserve">Depreciation </t>
  </si>
  <si>
    <t>Total Fixed Costs</t>
  </si>
  <si>
    <t>Net Returns</t>
  </si>
  <si>
    <t>Cost per Clam</t>
  </si>
  <si>
    <t xml:space="preserve">Break-even Survival </t>
  </si>
  <si>
    <t xml:space="preserve">Total Investment </t>
  </si>
  <si>
    <t xml:space="preserve">Seed Price </t>
  </si>
  <si>
    <t>Market Price</t>
  </si>
  <si>
    <t xml:space="preserve">Boat/Truck Insurance </t>
  </si>
  <si>
    <t xml:space="preserve">Crop Insurance </t>
  </si>
  <si>
    <t xml:space="preserve">Assumption </t>
  </si>
  <si>
    <t xml:space="preserve">Production Item </t>
  </si>
  <si>
    <t>Size Distribution as Percentage of entire catch</t>
  </si>
  <si>
    <t xml:space="preserve">Financial Item </t>
  </si>
  <si>
    <t>Assumption</t>
  </si>
  <si>
    <t>Growout Stocking Density (clams per bag)</t>
  </si>
  <si>
    <t>Survival Rates</t>
  </si>
  <si>
    <t xml:space="preserve">    Nursery </t>
  </si>
  <si>
    <t xml:space="preserve">    Grow-out</t>
  </si>
  <si>
    <t xml:space="preserve">    Overall </t>
  </si>
  <si>
    <t>Nursery Stocking Density (clams per bag)</t>
  </si>
  <si>
    <t xml:space="preserve">    1" </t>
  </si>
  <si>
    <t xml:space="preserve">    7/8"</t>
  </si>
  <si>
    <t xml:space="preserve">    pasta</t>
  </si>
  <si>
    <t xml:space="preserve">    Production Costs</t>
  </si>
  <si>
    <t xml:space="preserve">    New Capital</t>
  </si>
  <si>
    <t xml:space="preserve">Miscellaneous </t>
  </si>
  <si>
    <t xml:space="preserve">    1"</t>
  </si>
  <si>
    <t>Overhead Costs</t>
  </si>
  <si>
    <t>Truck</t>
  </si>
  <si>
    <t>Motor</t>
  </si>
  <si>
    <t>Winch/Davit/Boom/Pulley/Batteries</t>
  </si>
  <si>
    <t># Purchased In Year 1</t>
  </si>
  <si>
    <t>Total Seed Planted</t>
  </si>
  <si>
    <t xml:space="preserve">Budget for an Existing Florida Hard Clam Culture Operation </t>
  </si>
  <si>
    <t>Average Annual Budget</t>
  </si>
  <si>
    <t>Annual Cash Flows</t>
  </si>
  <si>
    <t>Equipment Maintenance</t>
  </si>
  <si>
    <t xml:space="preserve">Bag Maintenance </t>
  </si>
  <si>
    <t>Total Revenues</t>
  </si>
  <si>
    <t xml:space="preserve">Misc. Equipment </t>
  </si>
  <si>
    <t>Bookkeeping</t>
  </si>
  <si>
    <t>Seed clams</t>
  </si>
  <si>
    <t>Cover netting, stakes, etc.</t>
  </si>
  <si>
    <t>Boat fuel</t>
  </si>
  <si>
    <t>Truck fuel</t>
  </si>
  <si>
    <t xml:space="preserve">Bag maintenance </t>
  </si>
  <si>
    <t>Work gloves/booties</t>
  </si>
  <si>
    <t>Sensitivity Analysis</t>
  </si>
  <si>
    <t># of Clams Harvested</t>
  </si>
  <si>
    <t>Total Costs</t>
  </si>
  <si>
    <t xml:space="preserve">Break Even Survival </t>
  </si>
  <si>
    <t xml:space="preserve">Survival Rate </t>
  </si>
  <si>
    <t xml:space="preserve">Market Price </t>
  </si>
  <si>
    <t>Seed Price</t>
  </si>
  <si>
    <t>Overall Survival Rate</t>
  </si>
  <si>
    <t>Market Prices</t>
  </si>
  <si>
    <t>1"</t>
  </si>
  <si>
    <t>7/8"</t>
  </si>
  <si>
    <t>Pasta</t>
  </si>
  <si>
    <t>Size Distribution</t>
  </si>
  <si>
    <t xml:space="preserve">Size Distribution </t>
  </si>
  <si>
    <r>
      <t xml:space="preserve">     </t>
    </r>
    <r>
      <rPr>
        <i/>
        <sz val="11"/>
        <color indexed="8"/>
        <rFont val="Calibri"/>
        <family val="2"/>
      </rPr>
      <t>Growout</t>
    </r>
    <r>
      <rPr>
        <sz val="11"/>
        <color indexed="8"/>
        <rFont val="Calibri"/>
        <family val="2"/>
      </rPr>
      <t xml:space="preserve"> </t>
    </r>
  </si>
  <si>
    <t xml:space="preserve">Number of Bags Required </t>
  </si>
  <si>
    <t xml:space="preserve">Lease Fee </t>
  </si>
  <si>
    <t>Contract services/Wages</t>
  </si>
  <si>
    <t>Total Revenue</t>
  </si>
  <si>
    <t>Units/Year</t>
  </si>
  <si>
    <t>Cover Netting, stakes, cable ties</t>
  </si>
  <si>
    <t xml:space="preserve">Truck, boat, motor, trailer maintenance </t>
  </si>
  <si>
    <t>Price per Unit               or Cost</t>
  </si>
  <si>
    <t>Contract Services/Wages</t>
  </si>
  <si>
    <t>Lease Fee</t>
  </si>
  <si>
    <t>Licenses</t>
  </si>
  <si>
    <t>Boat/Truck Insurance</t>
  </si>
  <si>
    <t>Crop Insurance</t>
  </si>
  <si>
    <t>Please Answer the Following Questions</t>
  </si>
  <si>
    <t>Annual Replacement</t>
  </si>
  <si>
    <t>Depreciation (Non-Cash Expenses)</t>
  </si>
  <si>
    <t>Net Returns to Cash Costs</t>
  </si>
  <si>
    <t xml:space="preserve">Cash Cost per Clam </t>
  </si>
  <si>
    <t>Breakeven Survival (Cash Costs)</t>
  </si>
  <si>
    <t>Summary</t>
  </si>
  <si>
    <t>Cash Costs</t>
  </si>
  <si>
    <t>Cash Cost per Clam</t>
  </si>
  <si>
    <t>Net Returns to Cash</t>
  </si>
  <si>
    <t>Sensitivity Analysis: Cash Costs (Depreciation Costs Excluded)</t>
  </si>
  <si>
    <t xml:space="preserve">Overall Survival Rate </t>
  </si>
  <si>
    <t>Sensitivity Analysis: Cash Costs (Depreciation Excluded)</t>
  </si>
  <si>
    <t>Total Cash Costs</t>
  </si>
  <si>
    <t>Question</t>
  </si>
  <si>
    <t>Response</t>
  </si>
  <si>
    <r>
      <t>Equipment Maintenance</t>
    </r>
    <r>
      <rPr>
        <vertAlign val="superscript"/>
        <sz val="11"/>
        <color indexed="8"/>
        <rFont val="Calibri"/>
        <family val="2"/>
      </rPr>
      <t>1</t>
    </r>
  </si>
  <si>
    <t xml:space="preserve">Break-Even Survival </t>
  </si>
  <si>
    <t xml:space="preserve">Break-Even Overall Survival </t>
  </si>
  <si>
    <t>Break-Even Overall Survival</t>
  </si>
  <si>
    <t>Break-Even Overall  Survival</t>
  </si>
  <si>
    <t>Break-Even Survival (Cash Costs)</t>
  </si>
  <si>
    <t>Survival Rates (%)</t>
  </si>
  <si>
    <t>Harvest Size Distribution (%)</t>
  </si>
  <si>
    <t xml:space="preserve">    Pasta</t>
  </si>
  <si>
    <t>Winch,Davit,Boom,Pulley,Batteries</t>
  </si>
  <si>
    <t>Cover Net, Net Coating, Stakes, Cable Ties</t>
  </si>
  <si>
    <t>Please enter the current year (yyyy)</t>
  </si>
  <si>
    <t>?</t>
  </si>
  <si>
    <t>In what year do you plan to purchase a new boat? If you do not know, enter a question mark  into the box (no reinvestment in planning period).</t>
  </si>
  <si>
    <t>In what year do you plan to purchase a new boat motor? If you do not know, enter a question mark  into the box (no reinvestment in planning period).</t>
  </si>
  <si>
    <t>In what year do you plan to purchase a new truck? If you do not know, enter a question mark  into the box (no reinvestment in planning period).</t>
  </si>
  <si>
    <t>Nursery Seed Density (# clams per bag)</t>
  </si>
  <si>
    <t>Growout Seed Density (# clams per bag)</t>
  </si>
  <si>
    <t>User may enter firm specific data into orange cells, otherwise default information will be utilized</t>
  </si>
  <si>
    <t>Annual Depreciation (Non-Cash Expenses)</t>
  </si>
  <si>
    <t>Enter the year that you purchased your current boat.  If you do not own a boat, enter 0.</t>
  </si>
  <si>
    <t>Enter the year that you purchased your current boat motor.  If you do not own a boat motor, enter 0.</t>
  </si>
  <si>
    <t>Enter the year that you purchased your current truck.   If you do not own a truck, enter 0.</t>
  </si>
  <si>
    <t>Sensitivity Analysis: Total Costs (Depreciation Included)</t>
  </si>
  <si>
    <t>Sensitivity Analysis (Depreciation Included)</t>
  </si>
  <si>
    <t>Annual Replacement Cost</t>
  </si>
  <si>
    <t>Survival rate</t>
  </si>
  <si>
    <t xml:space="preserve">    Growout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</si>
</sst>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409]* #,##0.00_);_([$$-409]* \(#,##0.00\);_([$$-409]* &quot;-&quot;??_);_(@_)"/>
    <numFmt numFmtId="165" formatCode="&quot;$&quot;#,##0.00"/>
    <numFmt numFmtId="166" formatCode="_(&quot;$&quot;* #,##0.000_);_(&quot;$&quot;* \(#,##0.000\);_(&quot;$&quot;* &quot;-&quot;???_);_(@_)"/>
    <numFmt numFmtId="167" formatCode="_([$$-409]* #,##0.000_);_([$$-409]* \(#,##0.000\);_([$$-409]* &quot;-&quot;???_);_(@_)"/>
    <numFmt numFmtId="168" formatCode="_(&quot;$&quot;* #,##0_);_(&quot;$&quot;* \(#,##0\);_(&quot;$&quot;* &quot;-&quot;??_);_(@_)"/>
    <numFmt numFmtId="169" formatCode="_([$$-409]* #,##0_);_([$$-409]* \(#,##0\);_([$$-409]* &quot;-&quot;_);_(@_)"/>
    <numFmt numFmtId="170" formatCode="_(* #,##0_);_(* \(#,##0\);_(* &quot;-&quot;??_);_(@_)"/>
    <numFmt numFmtId="171" formatCode="_(&quot;$&quot;* #,##0.000_);_(&quot;$&quot;* \(#,##0.000\);_(&quot;$&quot;* &quot;-&quot;??_);_(@_)"/>
    <numFmt numFmtId="172" formatCode="_(&quot;$&quot;* #,##0.0000_);_(&quot;$&quot;* \(#,##0.0000\);_(&quot;$&quot;* &quot;-&quot;????_);_(@_)"/>
    <numFmt numFmtId="173" formatCode="_(&quot;$&quot;* #,##0_);_(&quot;$&quot;* \(#,##0\);_(&quot;$&quot;* &quot;-&quot;???_);_(@_)"/>
    <numFmt numFmtId="174" formatCode="_(&quot;$&quot;* #,##0.000_);_(&quot;$&quot;* \(#,##0.000\);_(&quot;$&quot;* &quot;-&quot;????_);_(@_)"/>
    <numFmt numFmtId="175" formatCode="_(&quot;$&quot;* #,##0_);_(&quot;$&quot;* \(#,##0\);_(&quot;$&quot;* &quot;0&quot;_);_(@_)"/>
  </numFmts>
  <fonts count="28" x14ac:knownFonts="1">
    <font>
      <sz val="12"/>
      <color theme="1"/>
      <name val="Calibri"/>
      <family val="2"/>
      <scheme val="minor"/>
    </font>
    <font>
      <sz val="11"/>
      <color indexed="8"/>
      <name val="Calibri"/>
      <family val="2"/>
    </font>
    <font>
      <sz val="8"/>
      <name val="Calibri"/>
      <family val="2"/>
    </font>
    <font>
      <i/>
      <sz val="11"/>
      <color indexed="8"/>
      <name val="Calibri"/>
      <family val="2"/>
    </font>
    <font>
      <vertAlign val="superscript"/>
      <sz val="11"/>
      <color indexed="8"/>
      <name val="Calibri"/>
      <family val="2"/>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u/>
      <sz val="11"/>
      <color theme="1"/>
      <name val="Calibri"/>
      <family val="2"/>
      <scheme val="minor"/>
    </font>
    <font>
      <b/>
      <i/>
      <sz val="11"/>
      <color theme="1"/>
      <name val="Calibri"/>
      <family val="2"/>
      <scheme val="minor"/>
    </font>
    <font>
      <b/>
      <u/>
      <sz val="14"/>
      <color theme="1"/>
      <name val="Calibri"/>
      <family val="2"/>
      <scheme val="minor"/>
    </font>
    <font>
      <b/>
      <sz val="14"/>
      <color theme="1"/>
      <name val="Calibri"/>
      <family val="2"/>
      <scheme val="minor"/>
    </font>
    <font>
      <b/>
      <u/>
      <sz val="18"/>
      <color theme="1"/>
      <name val="Calibri"/>
      <family val="2"/>
      <scheme val="minor"/>
    </font>
    <font>
      <sz val="12"/>
      <color rgb="FF000000"/>
      <name val="Calibri"/>
      <family val="2"/>
      <scheme val="minor"/>
    </font>
    <font>
      <b/>
      <sz val="11"/>
      <color rgb="FF000000"/>
      <name val="Calibri"/>
      <family val="2"/>
      <scheme val="minor"/>
    </font>
    <font>
      <sz val="11"/>
      <color rgb="FF000000"/>
      <name val="Calibri"/>
      <family val="2"/>
      <scheme val="minor"/>
    </font>
    <font>
      <b/>
      <u/>
      <sz val="11"/>
      <color rgb="FF000000"/>
      <name val="Calibri"/>
      <family val="2"/>
      <scheme val="minor"/>
    </font>
    <font>
      <sz val="11"/>
      <name val="Calibri"/>
      <family val="2"/>
      <scheme val="minor"/>
    </font>
    <font>
      <sz val="12"/>
      <color theme="1"/>
      <name val="Calibri"/>
      <family val="2"/>
    </font>
    <font>
      <i/>
      <sz val="12"/>
      <color theme="1"/>
      <name val="Calibri"/>
      <family val="2"/>
    </font>
    <font>
      <sz val="20"/>
      <color theme="1"/>
      <name val="Calibri"/>
      <family val="2"/>
      <scheme val="minor"/>
    </font>
    <font>
      <b/>
      <u val="singleAccounting"/>
      <sz val="14"/>
      <color theme="1"/>
      <name val="Calibri"/>
      <family val="2"/>
      <scheme val="minor"/>
    </font>
    <font>
      <b/>
      <u/>
      <sz val="16"/>
      <color theme="1"/>
      <name val="Calibri"/>
      <family val="2"/>
      <scheme val="minor"/>
    </font>
    <font>
      <b/>
      <u/>
      <sz val="16"/>
      <color rgb="FF000000"/>
      <name val="Calibri"/>
      <family val="2"/>
      <scheme val="minor"/>
    </font>
    <font>
      <b/>
      <sz val="14"/>
      <color rgb="FF000000"/>
      <name val="Calibri"/>
      <family val="2"/>
      <scheme val="minor"/>
    </font>
    <font>
      <b/>
      <sz val="11"/>
      <name val="Calibri"/>
      <family val="2"/>
      <scheme val="minor"/>
    </font>
  </fonts>
  <fills count="8">
    <fill>
      <patternFill patternType="none"/>
    </fill>
    <fill>
      <patternFill patternType="gray125"/>
    </fill>
    <fill>
      <patternFill patternType="lightUp">
        <fgColor theme="0" tint="-0.14999847407452621"/>
        <bgColor theme="9" tint="0.39997558519241921"/>
      </patternFill>
    </fill>
    <fill>
      <patternFill patternType="solid">
        <fgColor indexed="65"/>
        <bgColor theme="0" tint="-0.14999847407452621"/>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rgb="FF000000"/>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262">
    <xf numFmtId="0" fontId="0" fillId="0" borderId="0" xfId="0"/>
    <xf numFmtId="0" fontId="7" fillId="0" borderId="0" xfId="0" applyFont="1"/>
    <xf numFmtId="9" fontId="7" fillId="0" borderId="0" xfId="0" applyNumberFormat="1" applyFont="1"/>
    <xf numFmtId="0" fontId="8" fillId="0" borderId="0" xfId="0" applyFont="1"/>
    <xf numFmtId="164" fontId="7" fillId="0" borderId="0" xfId="0" applyNumberFormat="1" applyFont="1"/>
    <xf numFmtId="0" fontId="8" fillId="0" borderId="0" xfId="0" applyFont="1" applyBorder="1"/>
    <xf numFmtId="164" fontId="7" fillId="0" borderId="0" xfId="0" applyNumberFormat="1" applyFont="1" applyBorder="1"/>
    <xf numFmtId="0" fontId="7" fillId="0" borderId="0" xfId="0" applyFont="1" applyBorder="1"/>
    <xf numFmtId="165" fontId="7" fillId="0" borderId="0" xfId="0" applyNumberFormat="1" applyFont="1"/>
    <xf numFmtId="0" fontId="7" fillId="0" borderId="1" xfId="0" applyFont="1" applyBorder="1"/>
    <xf numFmtId="168" fontId="7" fillId="0" borderId="0" xfId="0" applyNumberFormat="1" applyFont="1"/>
    <xf numFmtId="168" fontId="7" fillId="0" borderId="0" xfId="0" applyNumberFormat="1" applyFont="1" applyBorder="1"/>
    <xf numFmtId="0" fontId="8" fillId="0" borderId="0" xfId="0" applyFont="1" applyAlignment="1">
      <alignment horizontal="center"/>
    </xf>
    <xf numFmtId="168" fontId="7" fillId="0" borderId="1" xfId="0" applyNumberFormat="1" applyFont="1" applyBorder="1"/>
    <xf numFmtId="9" fontId="7" fillId="0" borderId="0" xfId="3" applyFont="1"/>
    <xf numFmtId="42" fontId="7" fillId="0" borderId="0" xfId="0" applyNumberFormat="1" applyFont="1" applyBorder="1"/>
    <xf numFmtId="0" fontId="7" fillId="0" borderId="2" xfId="0" applyFont="1" applyBorder="1"/>
    <xf numFmtId="0" fontId="9" fillId="0" borderId="0"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9" fillId="0" borderId="5" xfId="0" applyFont="1" applyBorder="1"/>
    <xf numFmtId="164" fontId="7" fillId="0" borderId="6" xfId="0" applyNumberFormat="1" applyFont="1" applyBorder="1"/>
    <xf numFmtId="0" fontId="7" fillId="0" borderId="5" xfId="0" applyFont="1" applyBorder="1"/>
    <xf numFmtId="0" fontId="8" fillId="0" borderId="7" xfId="0" applyFont="1" applyBorder="1"/>
    <xf numFmtId="42" fontId="7" fillId="0" borderId="2" xfId="0" applyNumberFormat="1" applyFont="1" applyBorder="1"/>
    <xf numFmtId="0" fontId="7" fillId="0" borderId="8" xfId="0" applyFont="1" applyBorder="1"/>
    <xf numFmtId="42" fontId="7" fillId="0" borderId="8" xfId="0" applyNumberFormat="1" applyFont="1" applyBorder="1"/>
    <xf numFmtId="0" fontId="7" fillId="0" borderId="9" xfId="0" applyFont="1" applyBorder="1"/>
    <xf numFmtId="42" fontId="7" fillId="0" borderId="9" xfId="0" applyNumberFormat="1" applyFont="1" applyBorder="1"/>
    <xf numFmtId="168" fontId="7" fillId="0" borderId="2" xfId="0" applyNumberFormat="1" applyFont="1" applyBorder="1"/>
    <xf numFmtId="168" fontId="7" fillId="0" borderId="8" xfId="0" applyNumberFormat="1" applyFont="1" applyBorder="1"/>
    <xf numFmtId="0" fontId="10" fillId="0" borderId="0" xfId="0" applyFont="1" applyBorder="1"/>
    <xf numFmtId="164" fontId="7" fillId="0" borderId="1" xfId="0" applyNumberFormat="1" applyFont="1" applyBorder="1"/>
    <xf numFmtId="0" fontId="8" fillId="0" borderId="7" xfId="0" applyFont="1" applyBorder="1" applyAlignment="1">
      <alignment horizontal="center"/>
    </xf>
    <xf numFmtId="164" fontId="8" fillId="0" borderId="7" xfId="0" applyNumberFormat="1" applyFont="1" applyBorder="1" applyAlignment="1">
      <alignment horizontal="center"/>
    </xf>
    <xf numFmtId="168" fontId="7" fillId="0" borderId="10" xfId="0" applyNumberFormat="1" applyFont="1" applyBorder="1"/>
    <xf numFmtId="168" fontId="7" fillId="0" borderId="11" xfId="0" applyNumberFormat="1" applyFont="1" applyBorder="1"/>
    <xf numFmtId="0" fontId="7" fillId="0" borderId="7" xfId="0" applyFont="1" applyBorder="1"/>
    <xf numFmtId="169" fontId="7" fillId="0" borderId="2" xfId="0" applyNumberFormat="1" applyFont="1" applyBorder="1"/>
    <xf numFmtId="169" fontId="7" fillId="0" borderId="8" xfId="0" applyNumberFormat="1" applyFont="1" applyBorder="1"/>
    <xf numFmtId="169" fontId="7" fillId="0" borderId="0" xfId="0" applyNumberFormat="1" applyFont="1" applyBorder="1"/>
    <xf numFmtId="0" fontId="11" fillId="0" borderId="1" xfId="0" applyFont="1" applyBorder="1"/>
    <xf numFmtId="0" fontId="11" fillId="0" borderId="12" xfId="0" applyFont="1" applyBorder="1"/>
    <xf numFmtId="0" fontId="7" fillId="0" borderId="5" xfId="0" applyFont="1" applyBorder="1" applyAlignment="1"/>
    <xf numFmtId="0" fontId="9" fillId="0" borderId="13" xfId="0" applyFont="1" applyBorder="1"/>
    <xf numFmtId="164" fontId="7" fillId="2" borderId="14" xfId="0" applyNumberFormat="1" applyFont="1" applyFill="1" applyBorder="1" applyProtection="1">
      <protection locked="0"/>
    </xf>
    <xf numFmtId="167" fontId="7" fillId="2" borderId="15" xfId="0" applyNumberFormat="1" applyFont="1" applyFill="1" applyBorder="1" applyProtection="1">
      <protection locked="0"/>
    </xf>
    <xf numFmtId="0" fontId="7" fillId="2" borderId="2" xfId="0" applyFont="1" applyFill="1" applyBorder="1" applyProtection="1">
      <protection locked="0"/>
    </xf>
    <xf numFmtId="0" fontId="7" fillId="2" borderId="9" xfId="0" applyFont="1" applyFill="1" applyBorder="1" applyProtection="1">
      <protection locked="0"/>
    </xf>
    <xf numFmtId="0" fontId="12" fillId="0" borderId="0" xfId="0" applyFont="1" applyAlignment="1">
      <alignment horizontal="center"/>
    </xf>
    <xf numFmtId="41" fontId="7" fillId="0" borderId="0" xfId="1" applyNumberFormat="1" applyFont="1" applyBorder="1"/>
    <xf numFmtId="44" fontId="7" fillId="0" borderId="0" xfId="0" applyNumberFormat="1" applyFont="1" applyBorder="1"/>
    <xf numFmtId="166" fontId="7" fillId="0" borderId="0" xfId="0" applyNumberFormat="1" applyFont="1" applyBorder="1"/>
    <xf numFmtId="168" fontId="8" fillId="0" borderId="0" xfId="0" applyNumberFormat="1" applyFont="1" applyBorder="1"/>
    <xf numFmtId="167" fontId="7" fillId="0" borderId="0" xfId="0" applyNumberFormat="1" applyFont="1" applyBorder="1"/>
    <xf numFmtId="9" fontId="7" fillId="0" borderId="0" xfId="3" applyFont="1" applyBorder="1"/>
    <xf numFmtId="3" fontId="7" fillId="2" borderId="16" xfId="0" applyNumberFormat="1" applyFont="1" applyFill="1" applyBorder="1" applyProtection="1">
      <protection locked="0"/>
    </xf>
    <xf numFmtId="170" fontId="7" fillId="2" borderId="14" xfId="1" applyNumberFormat="1" applyFont="1" applyFill="1" applyBorder="1" applyProtection="1">
      <protection locked="0"/>
    </xf>
    <xf numFmtId="0" fontId="7" fillId="2" borderId="14" xfId="0" applyFont="1" applyFill="1" applyBorder="1" applyProtection="1">
      <protection locked="0"/>
    </xf>
    <xf numFmtId="9" fontId="7" fillId="0" borderId="14" xfId="0" applyNumberFormat="1" applyFont="1" applyFill="1" applyBorder="1"/>
    <xf numFmtId="9" fontId="7" fillId="2" borderId="14" xfId="0" applyNumberFormat="1" applyFont="1" applyFill="1" applyBorder="1" applyProtection="1">
      <protection locked="0"/>
    </xf>
    <xf numFmtId="3" fontId="0" fillId="0" borderId="0" xfId="0" applyNumberFormat="1"/>
    <xf numFmtId="167" fontId="7" fillId="2" borderId="14" xfId="0" applyNumberFormat="1" applyFont="1" applyFill="1" applyBorder="1" applyProtection="1">
      <protection locked="0"/>
    </xf>
    <xf numFmtId="168" fontId="0" fillId="0" borderId="0" xfId="0" applyNumberFormat="1"/>
    <xf numFmtId="167" fontId="0" fillId="0" borderId="0" xfId="0" applyNumberFormat="1"/>
    <xf numFmtId="9" fontId="0" fillId="0" borderId="0" xfId="0" applyNumberFormat="1"/>
    <xf numFmtId="164" fontId="7" fillId="0" borderId="7" xfId="0" applyNumberFormat="1" applyFont="1" applyBorder="1"/>
    <xf numFmtId="44" fontId="7" fillId="2" borderId="2" xfId="0" applyNumberFormat="1" applyFont="1" applyFill="1" applyBorder="1" applyProtection="1">
      <protection locked="0"/>
    </xf>
    <xf numFmtId="44" fontId="7" fillId="2" borderId="8" xfId="0" applyNumberFormat="1" applyFont="1" applyFill="1" applyBorder="1" applyProtection="1">
      <protection locked="0"/>
    </xf>
    <xf numFmtId="44" fontId="7" fillId="2" borderId="9" xfId="0" applyNumberFormat="1" applyFont="1" applyFill="1" applyBorder="1" applyProtection="1">
      <protection locked="0"/>
    </xf>
    <xf numFmtId="0" fontId="12" fillId="0" borderId="0" xfId="0" applyFont="1" applyAlignment="1">
      <alignment horizontal="center"/>
    </xf>
    <xf numFmtId="37" fontId="7" fillId="0" borderId="0" xfId="0" applyNumberFormat="1" applyFont="1"/>
    <xf numFmtId="167" fontId="7" fillId="0" borderId="0" xfId="0" applyNumberFormat="1" applyFont="1"/>
    <xf numFmtId="42" fontId="7" fillId="0" borderId="0" xfId="0" applyNumberFormat="1" applyFont="1"/>
    <xf numFmtId="166" fontId="7" fillId="0" borderId="0" xfId="0" applyNumberFormat="1" applyFont="1"/>
    <xf numFmtId="44" fontId="7" fillId="0" borderId="0" xfId="0" applyNumberFormat="1" applyFont="1"/>
    <xf numFmtId="0" fontId="0" fillId="0" borderId="0" xfId="0" applyAlignment="1">
      <alignment horizontal="center"/>
    </xf>
    <xf numFmtId="166" fontId="8" fillId="0" borderId="0" xfId="0" applyNumberFormat="1" applyFont="1"/>
    <xf numFmtId="166" fontId="0" fillId="0" borderId="0" xfId="0" applyNumberFormat="1" applyFont="1"/>
    <xf numFmtId="9" fontId="5" fillId="0" borderId="0" xfId="3" applyFont="1"/>
    <xf numFmtId="37" fontId="0" fillId="0" borderId="0" xfId="0" applyNumberFormat="1" applyFont="1"/>
    <xf numFmtId="44" fontId="0" fillId="0" borderId="0" xfId="0" applyNumberFormat="1" applyFont="1"/>
    <xf numFmtId="3" fontId="7" fillId="2" borderId="14" xfId="0" applyNumberFormat="1" applyFont="1" applyFill="1" applyBorder="1" applyProtection="1">
      <protection locked="0"/>
    </xf>
    <xf numFmtId="0" fontId="12" fillId="0" borderId="0" xfId="0" applyFont="1" applyAlignment="1">
      <alignment horizontal="center"/>
    </xf>
    <xf numFmtId="41" fontId="7" fillId="0" borderId="8" xfId="0" applyNumberFormat="1" applyFont="1" applyBorder="1"/>
    <xf numFmtId="171" fontId="7" fillId="0" borderId="8" xfId="0" applyNumberFormat="1" applyFont="1" applyBorder="1"/>
    <xf numFmtId="9" fontId="7" fillId="0" borderId="8" xfId="0" applyNumberFormat="1" applyFont="1" applyBorder="1"/>
    <xf numFmtId="41" fontId="7" fillId="0" borderId="2" xfId="0" applyNumberFormat="1" applyFont="1" applyBorder="1"/>
    <xf numFmtId="44" fontId="7" fillId="0" borderId="2" xfId="2" applyFont="1" applyBorder="1"/>
    <xf numFmtId="171" fontId="7" fillId="0" borderId="2" xfId="0" applyNumberFormat="1" applyFont="1" applyBorder="1"/>
    <xf numFmtId="9" fontId="7" fillId="0" borderId="2" xfId="0" applyNumberFormat="1" applyFont="1" applyBorder="1"/>
    <xf numFmtId="172" fontId="7" fillId="0" borderId="0" xfId="0" applyNumberFormat="1" applyFont="1" applyBorder="1"/>
    <xf numFmtId="44" fontId="7" fillId="0" borderId="0" xfId="2" applyFont="1"/>
    <xf numFmtId="171" fontId="7" fillId="0" borderId="8" xfId="2" applyNumberFormat="1" applyFont="1" applyBorder="1"/>
    <xf numFmtId="9" fontId="8" fillId="0" borderId="2" xfId="3" applyFont="1" applyBorder="1"/>
    <xf numFmtId="44" fontId="7" fillId="0" borderId="2" xfId="0" applyNumberFormat="1" applyFont="1" applyBorder="1"/>
    <xf numFmtId="171" fontId="7" fillId="0" borderId="2" xfId="2" applyNumberFormat="1" applyFont="1" applyBorder="1"/>
    <xf numFmtId="0" fontId="13" fillId="0" borderId="0" xfId="0" applyFont="1" applyAlignment="1"/>
    <xf numFmtId="0" fontId="7" fillId="0" borderId="9" xfId="0" applyFont="1" applyBorder="1" applyAlignment="1">
      <alignment wrapText="1"/>
    </xf>
    <xf numFmtId="171" fontId="8" fillId="0" borderId="2" xfId="0" applyNumberFormat="1" applyFont="1" applyBorder="1"/>
    <xf numFmtId="170" fontId="7" fillId="0" borderId="2" xfId="1" applyNumberFormat="1" applyFont="1" applyBorder="1"/>
    <xf numFmtId="9" fontId="7" fillId="0" borderId="2" xfId="3" applyFont="1" applyBorder="1"/>
    <xf numFmtId="0" fontId="7" fillId="0" borderId="17" xfId="0" applyFont="1" applyBorder="1"/>
    <xf numFmtId="0" fontId="7" fillId="0" borderId="6" xfId="0" applyFont="1" applyBorder="1"/>
    <xf numFmtId="0" fontId="7" fillId="0" borderId="18" xfId="0" applyFont="1" applyBorder="1"/>
    <xf numFmtId="9" fontId="7" fillId="2" borderId="19" xfId="0" applyNumberFormat="1" applyFont="1" applyFill="1" applyBorder="1" applyProtection="1">
      <protection locked="0"/>
    </xf>
    <xf numFmtId="170" fontId="7" fillId="0" borderId="14" xfId="0" applyNumberFormat="1" applyFont="1" applyBorder="1"/>
    <xf numFmtId="0" fontId="9" fillId="0" borderId="0" xfId="0" applyFont="1"/>
    <xf numFmtId="0" fontId="7" fillId="0" borderId="20" xfId="0" applyFont="1" applyBorder="1"/>
    <xf numFmtId="44" fontId="7" fillId="3" borderId="20" xfId="0" applyNumberFormat="1" applyFont="1" applyFill="1" applyBorder="1" applyProtection="1">
      <protection locked="0"/>
    </xf>
    <xf numFmtId="44" fontId="7" fillId="3" borderId="9" xfId="0" applyNumberFormat="1" applyFont="1" applyFill="1" applyBorder="1" applyProtection="1">
      <protection locked="0"/>
    </xf>
    <xf numFmtId="164" fontId="7" fillId="0" borderId="2" xfId="0" applyNumberFormat="1" applyFont="1" applyBorder="1"/>
    <xf numFmtId="9" fontId="8" fillId="0" borderId="8" xfId="3" applyNumberFormat="1" applyFont="1" applyBorder="1"/>
    <xf numFmtId="9" fontId="8" fillId="0" borderId="2" xfId="3" applyNumberFormat="1" applyFont="1" applyBorder="1"/>
    <xf numFmtId="0" fontId="11" fillId="0" borderId="10" xfId="0" applyFont="1" applyBorder="1"/>
    <xf numFmtId="3" fontId="7" fillId="0" borderId="2" xfId="0" applyNumberFormat="1" applyFont="1" applyBorder="1"/>
    <xf numFmtId="41" fontId="7" fillId="0" borderId="2" xfId="1" applyNumberFormat="1" applyFont="1" applyBorder="1"/>
    <xf numFmtId="0" fontId="10" fillId="0" borderId="21" xfId="0" applyFont="1" applyBorder="1" applyAlignment="1">
      <alignment horizontal="center"/>
    </xf>
    <xf numFmtId="44" fontId="7" fillId="0" borderId="2" xfId="0" applyNumberFormat="1" applyFont="1" applyFill="1" applyBorder="1"/>
    <xf numFmtId="168" fontId="7" fillId="0" borderId="8" xfId="0" applyNumberFormat="1" applyFont="1" applyFill="1" applyBorder="1"/>
    <xf numFmtId="41" fontId="7" fillId="0" borderId="2" xfId="1" applyNumberFormat="1" applyFont="1" applyFill="1" applyBorder="1"/>
    <xf numFmtId="41" fontId="7" fillId="4" borderId="2" xfId="1" applyNumberFormat="1" applyFont="1" applyFill="1" applyBorder="1" applyProtection="1"/>
    <xf numFmtId="0" fontId="8" fillId="0" borderId="7" xfId="0" applyFont="1" applyBorder="1" applyAlignment="1">
      <alignment horizontal="center" wrapText="1"/>
    </xf>
    <xf numFmtId="0" fontId="9" fillId="0" borderId="0" xfId="0" applyFont="1" applyBorder="1"/>
    <xf numFmtId="173" fontId="7" fillId="0" borderId="2" xfId="0" applyNumberFormat="1" applyFont="1" applyBorder="1"/>
    <xf numFmtId="168" fontId="7" fillId="0" borderId="8" xfId="0" applyNumberFormat="1" applyFont="1" applyFill="1" applyBorder="1" applyProtection="1"/>
    <xf numFmtId="168" fontId="7" fillId="0" borderId="10" xfId="0" applyNumberFormat="1" applyFont="1" applyBorder="1" applyProtection="1"/>
    <xf numFmtId="44" fontId="7" fillId="0" borderId="2" xfId="0" applyNumberFormat="1" applyFont="1" applyFill="1" applyBorder="1" applyProtection="1"/>
    <xf numFmtId="44" fontId="7" fillId="0" borderId="20" xfId="0" applyNumberFormat="1" applyFont="1" applyFill="1" applyBorder="1" applyProtection="1"/>
    <xf numFmtId="44" fontId="7" fillId="0" borderId="9" xfId="0" applyNumberFormat="1" applyFont="1" applyFill="1" applyBorder="1" applyProtection="1"/>
    <xf numFmtId="0" fontId="7" fillId="2" borderId="20" xfId="0" applyFont="1" applyFill="1" applyBorder="1" applyProtection="1">
      <protection locked="0"/>
    </xf>
    <xf numFmtId="41" fontId="7" fillId="2" borderId="2" xfId="1" applyNumberFormat="1" applyFont="1" applyFill="1" applyBorder="1" applyProtection="1">
      <protection locked="0"/>
    </xf>
    <xf numFmtId="9" fontId="7" fillId="0" borderId="14" xfId="0" applyNumberFormat="1" applyFont="1" applyFill="1" applyBorder="1" applyProtection="1"/>
    <xf numFmtId="168" fontId="7" fillId="0" borderId="2" xfId="2" applyNumberFormat="1" applyFont="1" applyBorder="1"/>
    <xf numFmtId="168" fontId="7" fillId="0" borderId="8" xfId="2" applyNumberFormat="1" applyFont="1" applyBorder="1"/>
    <xf numFmtId="0" fontId="14" fillId="0" borderId="0" xfId="0" applyFont="1" applyAlignment="1"/>
    <xf numFmtId="0" fontId="12" fillId="0" borderId="0" xfId="0" applyFont="1" applyAlignment="1"/>
    <xf numFmtId="0" fontId="7" fillId="0" borderId="2" xfId="0" applyFont="1" applyFill="1" applyBorder="1" applyProtection="1"/>
    <xf numFmtId="0" fontId="10" fillId="0" borderId="0" xfId="0" applyFont="1" applyFill="1" applyBorder="1" applyAlignment="1">
      <alignment horizontal="center"/>
    </xf>
    <xf numFmtId="0" fontId="7" fillId="0" borderId="0" xfId="0" applyFont="1" applyFill="1" applyBorder="1"/>
    <xf numFmtId="1" fontId="7" fillId="0" borderId="8" xfId="0" applyNumberFormat="1" applyFont="1" applyFill="1" applyBorder="1" applyProtection="1"/>
    <xf numFmtId="1" fontId="7" fillId="0" borderId="2" xfId="0" applyNumberFormat="1" applyFont="1" applyFill="1" applyBorder="1" applyProtection="1"/>
    <xf numFmtId="1" fontId="7" fillId="0" borderId="9" xfId="0" applyNumberFormat="1" applyFont="1" applyFill="1" applyBorder="1" applyProtection="1"/>
    <xf numFmtId="0" fontId="12" fillId="0" borderId="0" xfId="0" applyFont="1" applyAlignment="1">
      <alignment horizontal="center"/>
    </xf>
    <xf numFmtId="44" fontId="7" fillId="0" borderId="8" xfId="0" applyNumberFormat="1" applyFont="1" applyFill="1" applyBorder="1" applyProtection="1"/>
    <xf numFmtId="164" fontId="7" fillId="0" borderId="0" xfId="0" applyNumberFormat="1" applyFont="1" applyAlignment="1">
      <alignment horizontal="center"/>
    </xf>
    <xf numFmtId="170" fontId="7" fillId="0" borderId="8" xfId="0" applyNumberFormat="1" applyFont="1" applyBorder="1" applyProtection="1"/>
    <xf numFmtId="0" fontId="7" fillId="0" borderId="2" xfId="0" applyFont="1" applyBorder="1" applyProtection="1"/>
    <xf numFmtId="0" fontId="7" fillId="0" borderId="9" xfId="0" applyFont="1" applyFill="1" applyBorder="1" applyProtection="1"/>
    <xf numFmtId="42" fontId="7" fillId="0" borderId="8" xfId="0" applyNumberFormat="1" applyFont="1" applyBorder="1" applyProtection="1"/>
    <xf numFmtId="42" fontId="7" fillId="0" borderId="2" xfId="0" applyNumberFormat="1" applyFont="1" applyBorder="1" applyProtection="1"/>
    <xf numFmtId="42" fontId="7" fillId="0" borderId="20" xfId="0" applyNumberFormat="1" applyFont="1" applyBorder="1" applyAlignment="1" applyProtection="1"/>
    <xf numFmtId="42" fontId="7" fillId="0" borderId="22" xfId="0" applyNumberFormat="1" applyFont="1" applyBorder="1" applyAlignment="1" applyProtection="1"/>
    <xf numFmtId="42" fontId="7" fillId="0" borderId="23" xfId="0" applyNumberFormat="1" applyFont="1" applyBorder="1" applyAlignment="1" applyProtection="1"/>
    <xf numFmtId="42" fontId="7" fillId="0" borderId="9" xfId="0" applyNumberFormat="1" applyFont="1" applyBorder="1" applyProtection="1"/>
    <xf numFmtId="169" fontId="7" fillId="2" borderId="8" xfId="0" applyNumberFormat="1" applyFont="1" applyFill="1" applyBorder="1" applyProtection="1">
      <protection locked="0"/>
    </xf>
    <xf numFmtId="0" fontId="7" fillId="0" borderId="0" xfId="0" applyFont="1" applyBorder="1" applyAlignment="1"/>
    <xf numFmtId="171" fontId="7" fillId="0" borderId="0" xfId="0" applyNumberFormat="1" applyFont="1" applyBorder="1"/>
    <xf numFmtId="0" fontId="9" fillId="0" borderId="0" xfId="0" applyFont="1" applyBorder="1" applyAlignment="1"/>
    <xf numFmtId="171" fontId="7" fillId="0" borderId="0" xfId="0" applyNumberFormat="1" applyFont="1"/>
    <xf numFmtId="0" fontId="6" fillId="0" borderId="0" xfId="0" applyFont="1"/>
    <xf numFmtId="9" fontId="8" fillId="0" borderId="8" xfId="3" applyFont="1" applyBorder="1"/>
    <xf numFmtId="170" fontId="7" fillId="0" borderId="8" xfId="1" applyNumberFormat="1" applyFont="1" applyBorder="1"/>
    <xf numFmtId="9" fontId="7" fillId="0" borderId="8" xfId="3" applyFont="1" applyBorder="1"/>
    <xf numFmtId="41" fontId="7" fillId="2" borderId="2" xfId="0" applyNumberFormat="1" applyFont="1" applyFill="1" applyBorder="1" applyProtection="1">
      <protection locked="0"/>
    </xf>
    <xf numFmtId="0" fontId="15" fillId="0" borderId="0" xfId="0" applyFont="1"/>
    <xf numFmtId="0" fontId="16" fillId="0" borderId="7" xfId="0" applyFont="1" applyBorder="1"/>
    <xf numFmtId="0" fontId="17" fillId="0" borderId="0" xfId="0" applyFont="1"/>
    <xf numFmtId="0" fontId="17" fillId="0" borderId="7" xfId="0" applyFont="1" applyBorder="1"/>
    <xf numFmtId="41" fontId="17" fillId="0" borderId="17" xfId="0" applyNumberFormat="1" applyFont="1" applyBorder="1"/>
    <xf numFmtId="168" fontId="17" fillId="0" borderId="11" xfId="0" applyNumberFormat="1" applyFont="1" applyBorder="1"/>
    <xf numFmtId="171" fontId="17" fillId="0" borderId="17" xfId="0" applyNumberFormat="1" applyFont="1" applyBorder="1"/>
    <xf numFmtId="9" fontId="17" fillId="0" borderId="17" xfId="0" applyNumberFormat="1" applyFont="1" applyBorder="1"/>
    <xf numFmtId="168" fontId="17" fillId="0" borderId="17" xfId="0" applyNumberFormat="1" applyFont="1" applyBorder="1"/>
    <xf numFmtId="172" fontId="17" fillId="0" borderId="0" xfId="0" applyNumberFormat="1" applyFont="1"/>
    <xf numFmtId="44" fontId="17" fillId="0" borderId="0" xfId="0" applyNumberFormat="1" applyFont="1"/>
    <xf numFmtId="0" fontId="18" fillId="0" borderId="0" xfId="0" applyFont="1" applyAlignment="1">
      <alignment horizontal="center" wrapText="1"/>
    </xf>
    <xf numFmtId="168" fontId="19" fillId="0" borderId="8" xfId="0" applyNumberFormat="1" applyFont="1" applyBorder="1"/>
    <xf numFmtId="168" fontId="19" fillId="0" borderId="2" xfId="0" applyNumberFormat="1" applyFont="1" applyBorder="1"/>
    <xf numFmtId="168" fontId="19" fillId="0" borderId="17" xfId="0" applyNumberFormat="1" applyFont="1" applyBorder="1"/>
    <xf numFmtId="0" fontId="6" fillId="5" borderId="24" xfId="0" applyFont="1" applyFill="1" applyBorder="1" applyAlignment="1">
      <alignment horizontal="center"/>
    </xf>
    <xf numFmtId="1" fontId="7" fillId="0" borderId="2" xfId="0" applyNumberFormat="1" applyFont="1" applyBorder="1" applyProtection="1"/>
    <xf numFmtId="1" fontId="7" fillId="2" borderId="2" xfId="0" applyNumberFormat="1" applyFont="1" applyFill="1" applyBorder="1" applyProtection="1">
      <protection locked="0"/>
    </xf>
    <xf numFmtId="1" fontId="7" fillId="2" borderId="9" xfId="0" applyNumberFormat="1" applyFont="1" applyFill="1" applyBorder="1" applyProtection="1">
      <protection locked="0"/>
    </xf>
    <xf numFmtId="164" fontId="8" fillId="0" borderId="7" xfId="0" applyNumberFormat="1" applyFont="1" applyBorder="1" applyAlignment="1">
      <alignment horizontal="center" wrapText="1"/>
    </xf>
    <xf numFmtId="0" fontId="0" fillId="0" borderId="0" xfId="0" applyAlignment="1">
      <alignment horizontal="center" wrapText="1"/>
    </xf>
    <xf numFmtId="0" fontId="0" fillId="0" borderId="0" xfId="0" applyFont="1" applyAlignment="1">
      <alignment horizontal="center" wrapText="1"/>
    </xf>
    <xf numFmtId="0" fontId="8" fillId="0" borderId="0" xfId="0" applyFont="1" applyFill="1" applyBorder="1" applyAlignment="1">
      <alignment horizontal="center" wrapText="1"/>
    </xf>
    <xf numFmtId="0" fontId="10" fillId="0" borderId="0" xfId="0" applyFont="1" applyAlignment="1">
      <alignment horizontal="center" wrapText="1"/>
    </xf>
    <xf numFmtId="0" fontId="7" fillId="0" borderId="2" xfId="0" applyFont="1" applyBorder="1" applyAlignment="1">
      <alignment wrapText="1"/>
    </xf>
    <xf numFmtId="0" fontId="20" fillId="0" borderId="25" xfId="0" applyFont="1" applyBorder="1" applyAlignment="1">
      <alignment vertical="center"/>
    </xf>
    <xf numFmtId="0" fontId="20" fillId="0" borderId="26" xfId="0" applyFont="1" applyBorder="1" applyAlignment="1">
      <alignment vertical="center" wrapText="1"/>
    </xf>
    <xf numFmtId="0" fontId="20" fillId="0" borderId="27" xfId="0" applyFont="1" applyFill="1" applyBorder="1" applyAlignment="1">
      <alignment horizontal="left" wrapText="1"/>
    </xf>
    <xf numFmtId="0" fontId="21" fillId="5" borderId="27" xfId="0" applyFont="1" applyFill="1" applyBorder="1" applyAlignment="1">
      <alignment horizontal="center"/>
    </xf>
    <xf numFmtId="0" fontId="21" fillId="5" borderId="10" xfId="0" applyFont="1" applyFill="1" applyBorder="1" applyAlignment="1">
      <alignment horizontal="center"/>
    </xf>
    <xf numFmtId="0" fontId="21" fillId="5" borderId="19" xfId="0" applyFont="1" applyFill="1" applyBorder="1" applyAlignment="1">
      <alignment horizontal="center"/>
    </xf>
    <xf numFmtId="0" fontId="20" fillId="0" borderId="27" xfId="0" applyFont="1" applyBorder="1" applyAlignment="1">
      <alignment vertical="center" wrapText="1"/>
    </xf>
    <xf numFmtId="0" fontId="20" fillId="0" borderId="25" xfId="0" applyFont="1" applyBorder="1" applyAlignment="1">
      <alignment vertical="center" wrapText="1"/>
    </xf>
    <xf numFmtId="0" fontId="20" fillId="0" borderId="28" xfId="0" applyFont="1" applyFill="1" applyBorder="1" applyAlignment="1">
      <alignment horizontal="left" wrapText="1"/>
    </xf>
    <xf numFmtId="171" fontId="7" fillId="0" borderId="2" xfId="0" applyNumberFormat="1" applyFont="1" applyFill="1" applyBorder="1"/>
    <xf numFmtId="0" fontId="12" fillId="0" borderId="0" xfId="0" applyFont="1" applyAlignment="1">
      <alignment horizontal="center"/>
    </xf>
    <xf numFmtId="175" fontId="7" fillId="2" borderId="8" xfId="0" applyNumberFormat="1" applyFont="1" applyFill="1" applyBorder="1" applyProtection="1">
      <protection locked="0"/>
    </xf>
    <xf numFmtId="0" fontId="8" fillId="0" borderId="7" xfId="0" applyFont="1" applyBorder="1" applyAlignment="1">
      <alignment horizontal="center" wrapText="1"/>
    </xf>
    <xf numFmtId="9" fontId="6" fillId="0" borderId="0" xfId="0" applyNumberFormat="1" applyFont="1"/>
    <xf numFmtId="44" fontId="27" fillId="4" borderId="8" xfId="0" applyNumberFormat="1" applyFont="1" applyFill="1" applyBorder="1"/>
    <xf numFmtId="44" fontId="27" fillId="4" borderId="17" xfId="0" applyNumberFormat="1" applyFont="1" applyFill="1" applyBorder="1"/>
    <xf numFmtId="174" fontId="27" fillId="4" borderId="17" xfId="0" applyNumberFormat="1" applyFont="1" applyFill="1" applyBorder="1"/>
    <xf numFmtId="44" fontId="27" fillId="7" borderId="2" xfId="0" applyNumberFormat="1" applyFont="1" applyFill="1" applyBorder="1"/>
    <xf numFmtId="174" fontId="27" fillId="7" borderId="2" xfId="0" applyNumberFormat="1" applyFont="1" applyFill="1" applyBorder="1"/>
    <xf numFmtId="9" fontId="27" fillId="4" borderId="8" xfId="0" applyNumberFormat="1" applyFont="1" applyFill="1" applyBorder="1"/>
    <xf numFmtId="9" fontId="27" fillId="4" borderId="17" xfId="0" applyNumberFormat="1" applyFont="1" applyFill="1" applyBorder="1"/>
    <xf numFmtId="9" fontId="27" fillId="7" borderId="2" xfId="0" applyNumberFormat="1" applyFont="1" applyFill="1" applyBorder="1"/>
    <xf numFmtId="0" fontId="22" fillId="4" borderId="3" xfId="0" applyFont="1" applyFill="1" applyBorder="1" applyAlignment="1">
      <alignment horizontal="center"/>
    </xf>
    <xf numFmtId="0" fontId="22" fillId="4" borderId="21" xfId="0" applyFont="1" applyFill="1" applyBorder="1" applyAlignment="1">
      <alignment horizontal="center"/>
    </xf>
    <xf numFmtId="0" fontId="22" fillId="4" borderId="4" xfId="0" applyFont="1" applyFill="1" applyBorder="1" applyAlignment="1">
      <alignment horizontal="center"/>
    </xf>
    <xf numFmtId="0" fontId="20" fillId="5" borderId="31" xfId="0" applyFont="1" applyFill="1" applyBorder="1" applyAlignment="1">
      <alignment horizontal="center"/>
    </xf>
    <xf numFmtId="0" fontId="20" fillId="5" borderId="10" xfId="0" applyFont="1" applyFill="1" applyBorder="1" applyAlignment="1">
      <alignment horizontal="center"/>
    </xf>
    <xf numFmtId="0" fontId="20" fillId="5" borderId="14" xfId="0" applyFont="1" applyFill="1" applyBorder="1" applyAlignment="1">
      <alignment horizontal="center"/>
    </xf>
    <xf numFmtId="0" fontId="21" fillId="5" borderId="31" xfId="0" applyFont="1" applyFill="1" applyBorder="1" applyAlignment="1">
      <alignment horizontal="center"/>
    </xf>
    <xf numFmtId="0" fontId="21" fillId="5" borderId="10" xfId="0" applyFont="1" applyFill="1" applyBorder="1" applyAlignment="1">
      <alignment horizontal="center"/>
    </xf>
    <xf numFmtId="0" fontId="21" fillId="5" borderId="19" xfId="0" applyFont="1" applyFill="1" applyBorder="1" applyAlignment="1">
      <alignment horizontal="center"/>
    </xf>
    <xf numFmtId="1" fontId="20" fillId="2" borderId="12" xfId="0" applyNumberFormat="1" applyFont="1" applyFill="1" applyBorder="1" applyAlignment="1" applyProtection="1">
      <alignment horizontal="center" vertical="center"/>
      <protection locked="0"/>
    </xf>
    <xf numFmtId="1" fontId="20" fillId="2" borderId="14" xfId="0" applyNumberFormat="1" applyFont="1" applyFill="1" applyBorder="1" applyAlignment="1" applyProtection="1">
      <alignment horizontal="center" vertical="center"/>
      <protection locked="0"/>
    </xf>
    <xf numFmtId="0" fontId="6" fillId="5" borderId="32" xfId="0" applyFont="1" applyFill="1" applyBorder="1" applyAlignment="1">
      <alignment horizontal="center"/>
    </xf>
    <xf numFmtId="0" fontId="6" fillId="5" borderId="33" xfId="0" applyFont="1" applyFill="1" applyBorder="1" applyAlignment="1">
      <alignment horizontal="center"/>
    </xf>
    <xf numFmtId="0" fontId="20" fillId="6" borderId="31" xfId="0" applyFont="1" applyFill="1" applyBorder="1" applyAlignment="1">
      <alignment horizontal="center" vertical="center" wrapText="1"/>
    </xf>
    <xf numFmtId="0" fontId="20" fillId="6" borderId="10" xfId="0" applyFont="1" applyFill="1" applyBorder="1" applyAlignment="1">
      <alignment horizontal="center" vertical="center" wrapText="1"/>
    </xf>
    <xf numFmtId="0" fontId="20" fillId="6" borderId="14" xfId="0" applyFont="1" applyFill="1" applyBorder="1" applyAlignment="1">
      <alignment horizontal="center" vertical="center" wrapText="1"/>
    </xf>
    <xf numFmtId="0" fontId="20" fillId="5" borderId="29"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16" xfId="0" applyFont="1" applyFill="1" applyBorder="1" applyAlignment="1">
      <alignment horizontal="center" vertical="center" wrapText="1"/>
    </xf>
    <xf numFmtId="1" fontId="20" fillId="2" borderId="30" xfId="0" applyNumberFormat="1" applyFont="1" applyFill="1" applyBorder="1" applyAlignment="1" applyProtection="1">
      <alignment horizontal="center" vertical="center"/>
      <protection locked="0"/>
    </xf>
    <xf numFmtId="1" fontId="20" fillId="2" borderId="15" xfId="0" applyNumberFormat="1" applyFont="1" applyFill="1" applyBorder="1" applyAlignment="1" applyProtection="1">
      <alignment horizontal="center" vertical="center"/>
      <protection locked="0"/>
    </xf>
    <xf numFmtId="0" fontId="20" fillId="5" borderId="31"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12" fillId="0" borderId="0" xfId="0" applyFont="1" applyAlignment="1">
      <alignment horizontal="center"/>
    </xf>
    <xf numFmtId="0" fontId="9" fillId="0" borderId="5" xfId="0" applyFont="1" applyBorder="1" applyAlignment="1">
      <alignment horizontal="left"/>
    </xf>
    <xf numFmtId="0" fontId="9" fillId="0" borderId="0" xfId="0" applyFont="1" applyBorder="1" applyAlignment="1">
      <alignment horizontal="left"/>
    </xf>
    <xf numFmtId="0" fontId="7" fillId="0" borderId="5" xfId="0" applyFont="1" applyBorder="1" applyAlignment="1">
      <alignment horizontal="left"/>
    </xf>
    <xf numFmtId="0" fontId="7" fillId="0" borderId="0" xfId="0" applyFont="1" applyBorder="1" applyAlignment="1">
      <alignment horizontal="left"/>
    </xf>
    <xf numFmtId="0" fontId="7" fillId="0" borderId="6" xfId="0" applyFont="1" applyBorder="1" applyAlignment="1">
      <alignment horizontal="left"/>
    </xf>
    <xf numFmtId="164" fontId="7" fillId="0" borderId="5" xfId="0" applyNumberFormat="1" applyFont="1" applyBorder="1" applyAlignment="1">
      <alignment horizontal="left"/>
    </xf>
    <xf numFmtId="164" fontId="7" fillId="0" borderId="0" xfId="0" applyNumberFormat="1" applyFont="1" applyBorder="1" applyAlignment="1">
      <alignment horizontal="left"/>
    </xf>
    <xf numFmtId="164" fontId="23" fillId="0" borderId="0" xfId="0" applyNumberFormat="1" applyFont="1" applyAlignment="1">
      <alignment horizontal="center"/>
    </xf>
    <xf numFmtId="164" fontId="13" fillId="0" borderId="0" xfId="0" applyNumberFormat="1" applyFont="1" applyAlignment="1">
      <alignment horizontal="center"/>
    </xf>
    <xf numFmtId="0" fontId="14" fillId="0" borderId="0" xfId="0" applyFont="1" applyAlignment="1">
      <alignment horizontal="center"/>
    </xf>
    <xf numFmtId="9" fontId="7" fillId="0" borderId="5" xfId="0" applyNumberFormat="1" applyFont="1" applyBorder="1" applyAlignment="1">
      <alignment horizontal="left"/>
    </xf>
    <xf numFmtId="9" fontId="7" fillId="0" borderId="0" xfId="0" applyNumberFormat="1" applyFont="1" applyBorder="1" applyAlignment="1">
      <alignment horizontal="left"/>
    </xf>
    <xf numFmtId="0" fontId="9" fillId="0" borderId="0" xfId="0" applyFont="1" applyAlignment="1">
      <alignment horizontal="center"/>
    </xf>
    <xf numFmtId="164" fontId="9" fillId="0" borderId="5" xfId="0" applyNumberFormat="1" applyFont="1" applyBorder="1" applyAlignment="1">
      <alignment horizontal="left"/>
    </xf>
    <xf numFmtId="164" fontId="9" fillId="0" borderId="0" xfId="0" applyNumberFormat="1" applyFont="1" applyBorder="1" applyAlignment="1">
      <alignment horizontal="left"/>
    </xf>
    <xf numFmtId="9" fontId="7" fillId="0" borderId="13" xfId="3" applyFont="1" applyBorder="1" applyAlignment="1">
      <alignment horizontal="left"/>
    </xf>
    <xf numFmtId="9" fontId="7" fillId="0" borderId="7" xfId="3" applyFont="1" applyBorder="1" applyAlignment="1">
      <alignment horizontal="left"/>
    </xf>
    <xf numFmtId="0" fontId="24" fillId="0" borderId="0" xfId="0" applyFont="1" applyAlignment="1">
      <alignment horizontal="center"/>
    </xf>
    <xf numFmtId="0" fontId="13" fillId="0" borderId="0" xfId="0" applyFont="1" applyAlignment="1">
      <alignment horizontal="center"/>
    </xf>
    <xf numFmtId="0" fontId="25" fillId="0" borderId="0" xfId="0" applyFont="1" applyAlignment="1">
      <alignment horizontal="center"/>
    </xf>
    <xf numFmtId="0" fontId="26" fillId="0" borderId="0" xfId="0" applyFont="1" applyAlignment="1">
      <alignment horizontal="center"/>
    </xf>
    <xf numFmtId="0" fontId="18" fillId="0" borderId="0" xfId="0" applyFont="1" applyAlignment="1">
      <alignment horizontal="center"/>
    </xf>
    <xf numFmtId="0" fontId="13" fillId="0" borderId="0" xfId="0" applyFont="1" applyBorder="1" applyAlignment="1">
      <alignment horizontal="center"/>
    </xf>
    <xf numFmtId="0" fontId="10" fillId="0" borderId="0" xfId="0" applyFont="1" applyAlignment="1">
      <alignment horizontal="center" wrapText="1"/>
    </xf>
    <xf numFmtId="0" fontId="7" fillId="0" borderId="0" xfId="0" applyFont="1" applyBorder="1" applyAlignment="1">
      <alignment horizontal="center"/>
    </xf>
  </cellXfs>
  <cellStyles count="4">
    <cellStyle name="Comma" xfId="1" builtinId="3"/>
    <cellStyle name="Currency" xfId="2" builtinId="4"/>
    <cellStyle name="Normal" xfId="0" builtinId="0"/>
    <cellStyle name="Percent" xfId="3" builtinId="5"/>
  </cellStyles>
  <dxfs count="18">
    <dxf>
      <font>
        <color rgb="FF9C0006"/>
      </font>
    </dxf>
    <dxf>
      <font>
        <color rgb="FF9C0006"/>
      </font>
    </dxf>
    <dxf>
      <font>
        <color rgb="FF9C0006"/>
      </font>
      <fill>
        <patternFill patternType="solid">
          <fgColor indexed="64"/>
          <bgColor rgb="FFFFFF00"/>
        </patternFill>
      </fill>
    </dxf>
    <dxf>
      <font>
        <color theme="5"/>
      </font>
      <fill>
        <patternFill>
          <bgColor rgb="FFFFFF00"/>
        </patternFill>
      </fill>
    </dxf>
    <dxf>
      <font>
        <color theme="5"/>
      </font>
      <fill>
        <patternFill>
          <bgColor rgb="FFFFFF00"/>
        </patternFill>
      </fill>
    </dxf>
    <dxf>
      <font>
        <color rgb="FF9C0006"/>
      </font>
      <fill>
        <patternFill>
          <bgColor rgb="FFFFC7CE"/>
        </patternFill>
      </fill>
    </dxf>
    <dxf>
      <font>
        <color rgb="FF9C0006"/>
      </font>
    </dxf>
    <dxf>
      <font>
        <color rgb="FF9C0006"/>
      </font>
    </dxf>
    <dxf>
      <font>
        <color rgb="FF9C0006"/>
      </font>
    </dxf>
    <dxf>
      <font>
        <color rgb="FF9C0006"/>
      </font>
    </dxf>
    <dxf>
      <font>
        <color theme="5"/>
      </font>
      <fill>
        <patternFill>
          <bgColor rgb="FFFFFF00"/>
        </patternFill>
      </fill>
    </dxf>
    <dxf>
      <font>
        <color theme="5"/>
      </font>
      <fill>
        <patternFill>
          <bgColor rgb="FFFFFF00"/>
        </patternFill>
      </fill>
    </dxf>
    <dxf>
      <font>
        <condense val="0"/>
        <extend val="0"/>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Questionnaire '!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Budget!D5"/></Relationships>
</file>

<file path=xl/drawings/drawing1.xml><?xml version="1.0" encoding="utf-8"?>
<xdr:wsDr xmlns:xdr="http://schemas.openxmlformats.org/drawingml/2006/spreadsheetDrawing" xmlns:a="http://schemas.openxmlformats.org/drawingml/2006/main">
  <xdr:twoCellAnchor>
    <xdr:from>
      <xdr:col>0</xdr:col>
      <xdr:colOff>101600</xdr:colOff>
      <xdr:row>2</xdr:row>
      <xdr:rowOff>123825</xdr:rowOff>
    </xdr:from>
    <xdr:to>
      <xdr:col>7</xdr:col>
      <xdr:colOff>700024</xdr:colOff>
      <xdr:row>9</xdr:row>
      <xdr:rowOff>127004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1600" y="495300"/>
          <a:ext cx="7964424" cy="1346200"/>
        </a:xfrm>
        <a:prstGeom prst="rect">
          <a:avLst/>
        </a:prstGeom>
        <a:solidFill>
          <a:schemeClr val="tx2">
            <a:lumMod val="20000"/>
            <a:lumOff val="80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u="sng"/>
            <a:t>Introduction</a:t>
          </a:r>
          <a:r>
            <a:rPr lang="en-US" sz="1200" b="1" u="sng" baseline="0"/>
            <a:t> </a:t>
          </a:r>
          <a:endParaRPr lang="en-US" sz="1400" baseline="0"/>
        </a:p>
        <a:p>
          <a:pPr algn="l"/>
          <a:r>
            <a:rPr lang="en-US" sz="1000" baseline="0"/>
            <a:t>This worksheet is designed to model the cash flows for an existing small-scale Florida hard clam culture operation.  The worsheet will generate an average annual budget based upon user input that captures the fixed and variable costs, net returns, cost per clam, and breakeven survival rate.  Some of the cells have been protected to preserve the formatting</a:t>
          </a:r>
          <a:r>
            <a:rPr lang="en-US" sz="1000" b="1" baseline="0"/>
            <a:t>.  Those cells which can be modified are highlighted in </a:t>
          </a:r>
          <a:r>
            <a:rPr lang="en-US" sz="1000" b="1" baseline="0">
              <a:solidFill>
                <a:schemeClr val="accent6">
                  <a:lumMod val="75000"/>
                </a:schemeClr>
              </a:solidFill>
            </a:rPr>
            <a:t>orange</a:t>
          </a:r>
          <a:r>
            <a:rPr lang="en-US" sz="1000" baseline="0"/>
            <a:t>.  The default values currently displayed in these orange cells are estimates that are meant to be changed by the user.  </a:t>
          </a:r>
          <a:r>
            <a:rPr lang="en-US" sz="1000" b="0" u="none" baseline="0"/>
            <a:t>The tabs marked "Cash Cost Sensitivities" and "Total Cost Sensitivities"  are sensitivity analyses that automatically calculate how changes in seed prices, survival rates, market prices, and size distributions affect the budget.  The buttons at the bottom of the first three sheets will bring you through the directions and to the budget.  Feel free to return to any of the individual sheets by clicking on the tabs at the bottom of the window.  </a:t>
          </a:r>
        </a:p>
        <a:p>
          <a:pPr algn="l"/>
          <a:endParaRPr lang="en-US" sz="1200" baseline="0"/>
        </a:p>
        <a:p>
          <a:pPr algn="l"/>
          <a:endParaRPr lang="en-US" sz="1200" baseline="0"/>
        </a:p>
      </xdr:txBody>
    </xdr:sp>
    <xdr:clientData/>
  </xdr:twoCellAnchor>
  <xdr:twoCellAnchor>
    <xdr:from>
      <xdr:col>0</xdr:col>
      <xdr:colOff>93980</xdr:colOff>
      <xdr:row>0</xdr:row>
      <xdr:rowOff>76200</xdr:rowOff>
    </xdr:from>
    <xdr:to>
      <xdr:col>7</xdr:col>
      <xdr:colOff>703580</xdr:colOff>
      <xdr:row>2</xdr:row>
      <xdr:rowOff>60309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93980" y="76200"/>
          <a:ext cx="8006080" cy="360680"/>
        </a:xfrm>
        <a:prstGeom prst="rect">
          <a:avLst/>
        </a:prstGeom>
        <a:solidFill>
          <a:schemeClr val="bg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Budget for an Existing Florida Hard Clam Culture Operation</a:t>
          </a:r>
        </a:p>
      </xdr:txBody>
    </xdr:sp>
    <xdr:clientData/>
  </xdr:twoCellAnchor>
  <xdr:twoCellAnchor>
    <xdr:from>
      <xdr:col>0</xdr:col>
      <xdr:colOff>101600</xdr:colOff>
      <xdr:row>9</xdr:row>
      <xdr:rowOff>101600</xdr:rowOff>
    </xdr:from>
    <xdr:to>
      <xdr:col>7</xdr:col>
      <xdr:colOff>698500</xdr:colOff>
      <xdr:row>28</xdr:row>
      <xdr:rowOff>165100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01600" y="1816100"/>
          <a:ext cx="7924800" cy="3683000"/>
        </a:xfrm>
        <a:prstGeom prst="rect">
          <a:avLst/>
        </a:prstGeom>
        <a:solidFill>
          <a:schemeClr val="accent1">
            <a:lumMod val="40000"/>
            <a:lumOff val="60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u="sng"/>
            <a:t>Worksheet Assumptions</a:t>
          </a:r>
          <a:r>
            <a:rPr lang="en-US" sz="1200" b="1" u="sng" baseline="0"/>
            <a:t> </a:t>
          </a:r>
          <a:endParaRPr lang="en-US" sz="1400"/>
        </a:p>
        <a:p>
          <a:r>
            <a:rPr lang="en-US" sz="1000"/>
            <a:t>As the worksheet models an existing clam operation, the program is built with the following assumptions:</a:t>
          </a:r>
        </a:p>
        <a:p>
          <a:r>
            <a:rPr lang="en-US" sz="1000" b="1"/>
            <a:t>Production</a:t>
          </a:r>
          <a:r>
            <a:rPr lang="en-US" sz="1000"/>
            <a:t> :</a:t>
          </a:r>
          <a:r>
            <a:rPr lang="en-US" sz="1000" baseline="0"/>
            <a:t> </a:t>
          </a:r>
        </a:p>
        <a:p>
          <a:pPr marL="171450" indent="-171450">
            <a:buFont typeface="Arial"/>
            <a:buChar char="•"/>
          </a:pPr>
          <a:r>
            <a:rPr lang="en-US" sz="1000"/>
            <a:t>Existing hard clam aquaculture</a:t>
          </a:r>
          <a:r>
            <a:rPr lang="en-US" sz="1000" baseline="0"/>
            <a:t> operation in Florida with a minimum of five (5) years of farming experience.</a:t>
          </a:r>
        </a:p>
        <a:p>
          <a:pPr marL="171450" indent="-171450">
            <a:buFont typeface="Arial"/>
            <a:buChar char="•"/>
          </a:pPr>
          <a:r>
            <a:rPr lang="en-US" sz="1000" baseline="0"/>
            <a:t>Maximum 2-year growout period, which combines both field nursery and growout phases.</a:t>
          </a:r>
        </a:p>
        <a:p>
          <a:pPr marL="171450" indent="-171450">
            <a:buFont typeface="Arial"/>
            <a:buChar char="•"/>
          </a:pPr>
          <a:r>
            <a:rPr lang="en-US" sz="1000" baseline="0"/>
            <a:t>Nursery phase is ~3-6 months.</a:t>
          </a:r>
        </a:p>
        <a:p>
          <a:pPr marL="171450" indent="-171450">
            <a:buFont typeface="Arial"/>
            <a:buChar char="•"/>
          </a:pPr>
          <a:r>
            <a:rPr lang="en-US" sz="1000" baseline="0"/>
            <a:t>Growout phase is ~12 to 18 months.</a:t>
          </a:r>
        </a:p>
        <a:p>
          <a:pPr marL="171450" indent="-171450">
            <a:buFont typeface="Arial"/>
            <a:buChar char="•"/>
          </a:pPr>
          <a:r>
            <a:rPr lang="en-US" sz="1000" baseline="0"/>
            <a:t>Harvest period is extended as dictated by demand, environmental conditions, growth, etc.</a:t>
          </a:r>
        </a:p>
        <a:p>
          <a:pPr marL="0" indent="0">
            <a:buFontTx/>
            <a:buNone/>
          </a:pPr>
          <a:endParaRPr lang="en-US" sz="1000" baseline="0"/>
        </a:p>
        <a:p>
          <a:pPr marL="0" indent="0">
            <a:buFontTx/>
            <a:buNone/>
          </a:pPr>
          <a:r>
            <a:rPr lang="en-US" sz="1000" b="1" baseline="0"/>
            <a:t>Financial</a:t>
          </a:r>
          <a:r>
            <a:rPr lang="en-US" sz="1000" baseline="0"/>
            <a:t>:</a:t>
          </a:r>
        </a:p>
        <a:p>
          <a:pPr marL="171450" indent="-171450">
            <a:buFont typeface="Arial"/>
            <a:buChar char="•"/>
          </a:pPr>
          <a:r>
            <a:rPr lang="en-US" sz="1000" baseline="0"/>
            <a:t>All capital costs, asset replacement costs, and operating costs are owner financed.  No borrowed capital.</a:t>
          </a:r>
        </a:p>
        <a:p>
          <a:pPr marL="171450" indent="-171450">
            <a:buFont typeface="Arial"/>
            <a:buChar char="•"/>
          </a:pPr>
          <a:r>
            <a:rPr lang="en-US" sz="1000" baseline="0"/>
            <a:t>Capital assets (such as truck, boat, motor) are already purchased and in use by operator.  Depreciation is computed using a straight-line method with zero salvage value.</a:t>
          </a:r>
        </a:p>
        <a:p>
          <a:pPr marL="171450" indent="-171450">
            <a:buFont typeface="Arial"/>
            <a:buChar char="•"/>
          </a:pPr>
          <a:r>
            <a:rPr lang="en-US" sz="1000" baseline="0"/>
            <a:t>Contract services or wages to assist in farming activities are required each year.</a:t>
          </a:r>
        </a:p>
        <a:p>
          <a:pPr marL="171450" indent="-171450">
            <a:buFont typeface="Arial"/>
            <a:buChar char="•"/>
          </a:pPr>
          <a:r>
            <a:rPr lang="en-US" sz="1000" baseline="0"/>
            <a:t>Grower replaces 25% of nursery bags per year and cleans/repairs 75% per year.</a:t>
          </a:r>
        </a:p>
        <a:p>
          <a:pPr marL="171450" indent="-171450">
            <a:buFont typeface="Arial"/>
            <a:buChar char="•"/>
          </a:pPr>
          <a:r>
            <a:rPr lang="en-US" sz="1000" baseline="0"/>
            <a:t>Grower replaces 10% of growout bags per year and cleans/repairs 90% per year.</a:t>
          </a:r>
        </a:p>
        <a:p>
          <a:pPr marL="171450" indent="-171450">
            <a:buFont typeface="Arial"/>
            <a:buChar char="•"/>
          </a:pPr>
          <a:r>
            <a:rPr lang="en-US" sz="1000" baseline="0"/>
            <a:t>Most variable costs, overhead expenses, and capital asset purchases are inflated at a 3% annual rate.</a:t>
          </a:r>
        </a:p>
        <a:p>
          <a:pPr marL="171450" indent="-171450">
            <a:buFont typeface="Arial"/>
            <a:buChar char="•"/>
          </a:pPr>
          <a:r>
            <a:rPr lang="en-US" sz="1000" baseline="0"/>
            <a:t>Income and self-employment taxes are not included.</a:t>
          </a:r>
        </a:p>
        <a:p>
          <a:pPr marL="171450" indent="-171450">
            <a:buFont typeface="Arial"/>
            <a:buChar char="•"/>
          </a:pPr>
          <a:r>
            <a:rPr lang="en-US" sz="1000" baseline="0"/>
            <a:t>Capital assets are automatically reinvested if the asset's years of life is less than the 5-year planning horizon.</a:t>
          </a:r>
        </a:p>
        <a:p>
          <a:pPr marL="171450" indent="-171450">
            <a:buFont typeface="Arial"/>
            <a:buChar char="•"/>
          </a:pPr>
          <a:r>
            <a:rPr lang="en-US" sz="1000" baseline="0"/>
            <a:t>Withdrawals from the business income for owner "salary" or family living expenses are not included.</a:t>
          </a:r>
        </a:p>
        <a:p>
          <a:pPr marL="171450" indent="-171450">
            <a:buFont typeface="Arial"/>
            <a:buChar char="•"/>
          </a:pPr>
          <a:r>
            <a:rPr lang="en-US" sz="1000" baseline="0"/>
            <a:t>Owner/family labor cost is not included. </a:t>
          </a:r>
        </a:p>
        <a:p>
          <a:pPr marL="171450" indent="-171450">
            <a:buFont typeface="Arial"/>
            <a:buChar char="•"/>
          </a:pPr>
          <a:r>
            <a:rPr lang="en-US" sz="1000" baseline="0"/>
            <a:t>All net returns are pre-tax to the owner/operator's capital, management labor, and risk.</a:t>
          </a:r>
        </a:p>
        <a:p>
          <a:pPr marL="171450" indent="-171450">
            <a:buFont typeface="Arial"/>
            <a:buChar char="•"/>
          </a:pPr>
          <a:endParaRPr lang="en-US" sz="1000" baseline="0"/>
        </a:p>
      </xdr:txBody>
    </xdr:sp>
    <xdr:clientData/>
  </xdr:twoCellAnchor>
  <xdr:twoCellAnchor>
    <xdr:from>
      <xdr:col>2</xdr:col>
      <xdr:colOff>34925</xdr:colOff>
      <xdr:row>28</xdr:row>
      <xdr:rowOff>44450</xdr:rowOff>
    </xdr:from>
    <xdr:to>
      <xdr:col>5</xdr:col>
      <xdr:colOff>339725</xdr:colOff>
      <xdr:row>30</xdr:row>
      <xdr:rowOff>60960</xdr:rowOff>
    </xdr:to>
    <xdr:sp macro="" textlink="">
      <xdr:nvSpPr>
        <xdr:cNvPr id="7" name="TextBox 6">
          <a:hlinkClick xmlns:r="http://schemas.openxmlformats.org/officeDocument/2006/relationships" r:id="rId1"/>
          <a:extLst>
            <a:ext uri="{FF2B5EF4-FFF2-40B4-BE49-F238E27FC236}">
              <a16:creationId xmlns:a16="http://schemas.microsoft.com/office/drawing/2014/main" id="{00000000-0008-0000-0000-000007000000}"/>
            </a:ext>
          </a:extLst>
        </xdr:cNvPr>
        <xdr:cNvSpPr txBox="1"/>
      </xdr:nvSpPr>
      <xdr:spPr>
        <a:xfrm>
          <a:off x="2587625" y="5591810"/>
          <a:ext cx="2933700" cy="412750"/>
        </a:xfrm>
        <a:prstGeom prst="rect">
          <a:avLst/>
        </a:prstGeom>
        <a:pattFill prst="ltUpDiag">
          <a:fgClr>
            <a:schemeClr val="bg1">
              <a:lumMod val="85000"/>
            </a:schemeClr>
          </a:fgClr>
          <a:bgClr>
            <a:schemeClr val="accent6"/>
          </a:bgClr>
        </a:patt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t>Click</a:t>
          </a:r>
          <a:r>
            <a:rPr lang="en-US" sz="1400" b="1" u="none" baseline="0"/>
            <a:t> Here to Begin</a:t>
          </a:r>
          <a:endParaRPr lang="en-US" sz="1400" b="1" u="non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19</xdr:row>
      <xdr:rowOff>76200</xdr:rowOff>
    </xdr:from>
    <xdr:to>
      <xdr:col>3</xdr:col>
      <xdr:colOff>558800</xdr:colOff>
      <xdr:row>22</xdr:row>
      <xdr:rowOff>187282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914400" y="6311900"/>
          <a:ext cx="4292600" cy="673100"/>
        </a:xfrm>
        <a:prstGeom prst="rect">
          <a:avLst/>
        </a:prstGeom>
        <a:solidFill>
          <a:schemeClr val="tx2">
            <a:lumMod val="20000"/>
            <a:lumOff val="80000"/>
          </a:schemeClr>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a:t>Your</a:t>
          </a:r>
          <a:r>
            <a:rPr lang="en-US" sz="1200" baseline="0"/>
            <a:t> responses will be used to more accurately predict a five year budget as well as for calculating depreciation costs.  Only enter a four digit year or the words "Yes"/"No" into the response boxes.  </a:t>
          </a:r>
          <a:endParaRPr lang="en-US" sz="1200"/>
        </a:p>
      </xdr:txBody>
    </xdr:sp>
    <xdr:clientData/>
  </xdr:twoCellAnchor>
  <xdr:twoCellAnchor>
    <xdr:from>
      <xdr:col>1</xdr:col>
      <xdr:colOff>317500</xdr:colOff>
      <xdr:row>23</xdr:row>
      <xdr:rowOff>76200</xdr:rowOff>
    </xdr:from>
    <xdr:to>
      <xdr:col>2</xdr:col>
      <xdr:colOff>495300</xdr:colOff>
      <xdr:row>26</xdr:row>
      <xdr:rowOff>60378</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1231900" y="7442200"/>
          <a:ext cx="3340100" cy="546100"/>
        </a:xfrm>
        <a:prstGeom prst="rect">
          <a:avLst/>
        </a:prstGeom>
        <a:pattFill prst="ltUpDiag">
          <a:fgClr>
            <a:schemeClr val="bg1">
              <a:lumMod val="85000"/>
            </a:schemeClr>
          </a:fgClr>
          <a:bgClr>
            <a:schemeClr val="accent6">
              <a:lumMod val="60000"/>
              <a:lumOff val="40000"/>
            </a:schemeClr>
          </a:bgClr>
        </a:pattFill>
        <a:ln w="28575" cmpd="sng">
          <a:solidFill>
            <a:srgbClr val="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en-US" sz="1400" b="1"/>
            <a:t>Click here to Continue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152400</xdr:colOff>
      <xdr:row>0</xdr:row>
      <xdr:rowOff>71120</xdr:rowOff>
    </xdr:from>
    <xdr:to>
      <xdr:col>9</xdr:col>
      <xdr:colOff>721360</xdr:colOff>
      <xdr:row>26</xdr:row>
      <xdr:rowOff>73043</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52400" y="71120"/>
          <a:ext cx="8158480" cy="5011420"/>
        </a:xfrm>
        <a:prstGeom prst="rect">
          <a:avLst/>
        </a:prstGeom>
        <a:solidFill>
          <a:schemeClr val="tx2">
            <a:lumMod val="20000"/>
            <a:lumOff val="80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Instructions</a:t>
          </a:r>
          <a:r>
            <a:rPr lang="en-US" sz="1600" b="1" u="sng" baseline="0"/>
            <a:t> For Entering User-Specific Data</a:t>
          </a:r>
        </a:p>
        <a:p>
          <a:pPr algn="l" defTabSz="137160"/>
          <a:r>
            <a:rPr lang="en-US" sz="1000" b="1" baseline="0"/>
            <a:t>1.  Read the following guidelines </a:t>
          </a:r>
        </a:p>
        <a:p>
          <a:pPr algn="l" defTabSz="137160"/>
          <a:r>
            <a:rPr lang="en-US" sz="1000" b="1" baseline="0"/>
            <a:t>    a.  Modify Production and Financial Assumptions at the top of the budget worksheet.</a:t>
          </a:r>
        </a:p>
        <a:p>
          <a:pPr algn="l" defTabSz="137160"/>
          <a:r>
            <a:rPr lang="en-US" sz="1000" baseline="0"/>
            <a:t>    -Survival rates and harvest size distribution </a:t>
          </a:r>
          <a:r>
            <a:rPr lang="en-US" sz="1000" b="1" baseline="0"/>
            <a:t>must</a:t>
          </a:r>
          <a:r>
            <a:rPr lang="en-US" sz="1000" baseline="0"/>
            <a:t> be in increments of 5% (i.e. 5%, 10%, 15%.... 100%). </a:t>
          </a:r>
        </a:p>
        <a:p>
          <a:pPr algn="l" defTabSz="137160"/>
          <a:r>
            <a:rPr lang="en-US" sz="1000" baseline="0"/>
            <a:t>    -Overall Survival Rate is calculated automatically by multiplying nursery survival rate by growout surival rate.</a:t>
          </a:r>
        </a:p>
        <a:p>
          <a:pPr algn="l" defTabSz="137160"/>
          <a:r>
            <a:rPr lang="en-US" sz="1000" baseline="0"/>
            <a:t>    -Number of bags required is automatically calculated and can NOT be changed by the user.  It is calculated by dividing the total number                                               	of clams in each production phase by the stocking density in each phase.</a:t>
          </a:r>
        </a:p>
        <a:p>
          <a:pPr algn="l" defTabSz="137160"/>
          <a:endParaRPr lang="en-US" sz="1000" baseline="0"/>
        </a:p>
        <a:p>
          <a:pPr algn="l" defTabSz="137160"/>
          <a:r>
            <a:rPr lang="en-US" sz="1000" b="1" baseline="0"/>
            <a:t>    b.  Modify Capital Asset Costs, Annual Variable Costs, and Annual Overhead Costs</a:t>
          </a:r>
        </a:p>
        <a:p>
          <a:pPr algn="l" defTabSz="137160"/>
          <a:r>
            <a:rPr lang="en-US" sz="1000" baseline="0"/>
            <a:t>    -Truck and boat will incur depreciation costs if the owner has owned the item for a period shorter than the usable life of that item.</a:t>
          </a:r>
        </a:p>
        <a:p>
          <a:pPr marL="0" marR="0" indent="0" algn="l" defTabSz="137160" eaLnBrk="1" fontAlgn="auto" latinLnBrk="0" hangingPunct="1">
            <a:lnSpc>
              <a:spcPct val="100000"/>
            </a:lnSpc>
            <a:spcBef>
              <a:spcPts val="0"/>
            </a:spcBef>
            <a:spcAft>
              <a:spcPts val="0"/>
            </a:spcAft>
            <a:buClrTx/>
            <a:buSzTx/>
            <a:buFontTx/>
            <a:buNone/>
            <a:tabLst/>
            <a:defRPr/>
          </a:pPr>
          <a:r>
            <a:rPr lang="en-US" sz="1000" baseline="0"/>
            <a:t>    </a:t>
          </a:r>
          <a:r>
            <a:rPr lang="en-US" sz="1100" baseline="0">
              <a:solidFill>
                <a:schemeClr val="dk1"/>
              </a:solidFill>
              <a:effectLst/>
              <a:latin typeface="+mn-lt"/>
              <a:ea typeface="+mn-ea"/>
              <a:cs typeface="+mn-cs"/>
            </a:rPr>
            <a:t>-If the truck or boat has been owned for a period longer than the usable life, then the item will not incur depreciation costs.</a:t>
          </a:r>
          <a:endParaRPr lang="en-US" sz="1000" baseline="0"/>
        </a:p>
        <a:p>
          <a:pPr algn="l" defTabSz="137160"/>
          <a:r>
            <a:rPr lang="en-US" sz="1000" baseline="0"/>
            <a:t>    -The usable life of trucks, boats, motors, and other items are provided in the budget</a:t>
          </a:r>
        </a:p>
        <a:p>
          <a:pPr algn="l" defTabSz="137160"/>
          <a:r>
            <a:rPr lang="en-US" sz="1000" baseline="0"/>
            <a:t>    -Nursery and growout bag costs include only the bag costs and do not include cover netting or net coating, stakes, cable ties, etc.  These costs are                              	included under Annual Production costs as "Bag Maintinence."  The item labeled "Bag Maintinence" applies to the portion of bags that are not 	replaced each year.  It is precalculated based upon the sum of 75% of    the Nursery bags required and 90% of the Growout bags required.  </a:t>
          </a:r>
        </a:p>
        <a:p>
          <a:pPr algn="l" defTabSz="137160"/>
          <a:r>
            <a:rPr lang="en-US" sz="1000" baseline="0"/>
            <a:t>    -Nursery and Growout bags are considered capital assets but require annual costs to replace a portion of the gear (see assumptions in the 	introduction).  The number of bags replaced each year is labeled "# Purchased in Year 1" and is calculated by multiplying the number of bags required 	for each production phase by the percentage replaced each year (25%/yr for nursery phase, 10%/yr for growout phase).  The costs for the relacement 	are found under "Annual Replacement" .  These values can NOT be changed by the user.</a:t>
          </a:r>
        </a:p>
        <a:p>
          <a:pPr algn="l" defTabSz="137160"/>
          <a:r>
            <a:rPr lang="en-US" sz="1000" baseline="0"/>
            <a:t>    -The item labeled "Cover Net, Net Coating, Stakes, Cable Ties" applies to all bags used in the operation.  It is precalculated as the sum of the nursery 	bags and growout bags found in the production assumptions.</a:t>
          </a:r>
        </a:p>
        <a:p>
          <a:pPr algn="l" defTabSz="137160"/>
          <a:r>
            <a:rPr lang="en-US" sz="1000" baseline="0"/>
            <a:t>    -Variable Costs that do not have a value of "Units per Year" are represented under the column "Price per Unit or Cost".  This amount will be reflected in 	the  Average Annual Budget   </a:t>
          </a:r>
        </a:p>
        <a:p>
          <a:pPr algn="l" defTabSz="137160"/>
          <a:endParaRPr lang="en-US" sz="1000" baseline="0"/>
        </a:p>
        <a:p>
          <a:pPr algn="l" defTabSz="137160"/>
          <a:r>
            <a:rPr lang="en-US" sz="1000" b="1" baseline="0"/>
            <a:t>    c.  Review Annual Cash Flows and Average Annual Budget </a:t>
          </a:r>
        </a:p>
        <a:p>
          <a:pPr algn="l" defTabSz="137160"/>
          <a:r>
            <a:rPr lang="en-US" sz="1000" baseline="0"/>
            <a:t>    -The user may enter a value for beginning cash in the Annual Cash Flow Table.  Otherwise, beginning cash will be $0.</a:t>
          </a:r>
        </a:p>
        <a:p>
          <a:pPr algn="l" defTabSz="137160"/>
          <a:endParaRPr lang="en-US" sz="1000" baseline="0"/>
        </a:p>
        <a:p>
          <a:pPr algn="l" defTabSz="137160"/>
          <a:r>
            <a:rPr lang="en-US" sz="1000" b="1" baseline="0"/>
            <a:t>    d.  Review Sensitivity Analyses by clicking on the tabs marked "Cash Cost Sensitivities" and "Total Cost Sensitivities"</a:t>
          </a:r>
        </a:p>
        <a:p>
          <a:pPr algn="l" defTabSz="137160"/>
          <a:r>
            <a:rPr lang="en-US" sz="1000" b="0" u="none" baseline="0"/>
            <a:t>    -The calculation of cash costs do not include depreciation.  Total Costs do take into account depreciation or "non-cash" costs.</a:t>
          </a:r>
        </a:p>
        <a:p>
          <a:pPr algn="l" defTabSz="137160"/>
          <a:r>
            <a:rPr lang="en-US" sz="1000" b="0" u="none" baseline="0"/>
            <a:t>  </a:t>
          </a:r>
        </a:p>
        <a:p>
          <a:pPr algn="l" defTabSz="137160"/>
          <a:r>
            <a:rPr lang="en-US" sz="1000" b="1" u="none" baseline="0"/>
            <a:t>2.  Click on the START Button below or  the "Budget" tab on the bottom of this worksheet.</a:t>
          </a:r>
        </a:p>
        <a:p>
          <a:pPr algn="l"/>
          <a:endParaRPr lang="en-US" sz="1000" b="0" u="none" baseline="0"/>
        </a:p>
      </xdr:txBody>
    </xdr:sp>
    <xdr:clientData/>
  </xdr:twoCellAnchor>
  <xdr:twoCellAnchor>
    <xdr:from>
      <xdr:col>3</xdr:col>
      <xdr:colOff>168275</xdr:colOff>
      <xdr:row>26</xdr:row>
      <xdr:rowOff>142875</xdr:rowOff>
    </xdr:from>
    <xdr:to>
      <xdr:col>6</xdr:col>
      <xdr:colOff>158750</xdr:colOff>
      <xdr:row>29</xdr:row>
      <xdr:rowOff>92064</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2682875" y="5086350"/>
          <a:ext cx="2505075" cy="530225"/>
        </a:xfrm>
        <a:prstGeom prst="rect">
          <a:avLst/>
        </a:prstGeom>
        <a:pattFill prst="ltUpDiag">
          <a:fgClr>
            <a:schemeClr val="bg1">
              <a:lumMod val="85000"/>
            </a:schemeClr>
          </a:fgClr>
          <a:bgClr>
            <a:schemeClr val="accent6"/>
          </a:bgClr>
        </a:patt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u="sng"/>
            <a:t>START</a:t>
          </a:r>
          <a:r>
            <a:rPr lang="en-US" sz="1800" b="1" u="sng" baseline="0"/>
            <a:t> </a:t>
          </a:r>
          <a:endParaRPr lang="en-US" sz="1800" b="1" u="sng"/>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50800</xdr:colOff>
      <xdr:row>49</xdr:row>
      <xdr:rowOff>85725</xdr:rowOff>
    </xdr:from>
    <xdr:to>
      <xdr:col>2</xdr:col>
      <xdr:colOff>1143000</xdr:colOff>
      <xdr:row>51</xdr:row>
      <xdr:rowOff>136525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800" y="10820400"/>
          <a:ext cx="3543300" cy="40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1</a:t>
          </a:r>
          <a:r>
            <a:rPr lang="en-US" sz="1100" baseline="0"/>
            <a:t> </a:t>
          </a:r>
          <a:r>
            <a:rPr lang="en-US" sz="1000" baseline="0"/>
            <a:t>Equipment Maintinence refers to truck, boat, and motor.  The base assumption is 5% of the initial costs of these 3 items</a:t>
          </a:r>
          <a:endParaRPr lang="en-US"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50800</xdr:colOff>
      <xdr:row>19</xdr:row>
      <xdr:rowOff>127001</xdr:rowOff>
    </xdr:from>
    <xdr:to>
      <xdr:col>1</xdr:col>
      <xdr:colOff>1397000</xdr:colOff>
      <xdr:row>21</xdr:row>
      <xdr:rowOff>9525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50800" y="4060826"/>
          <a:ext cx="2708275" cy="28257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hilighted</a:t>
          </a:r>
          <a:r>
            <a:rPr lang="en-US" sz="1100" baseline="0"/>
            <a:t> cells represent user-input data</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142875</xdr:colOff>
      <xdr:row>19</xdr:row>
      <xdr:rowOff>180975</xdr:rowOff>
    </xdr:from>
    <xdr:to>
      <xdr:col>1</xdr:col>
      <xdr:colOff>1250950</xdr:colOff>
      <xdr:row>21</xdr:row>
      <xdr:rowOff>57150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42875" y="4114800"/>
          <a:ext cx="2708275" cy="276225"/>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hilighted</a:t>
          </a:r>
          <a:r>
            <a:rPr lang="en-US" sz="1100" baseline="0"/>
            <a:t> cells represent user-input data</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zoomScale="125" zoomScaleNormal="125" workbookViewId="0">
      <selection activeCell="E32" sqref="E32"/>
    </sheetView>
  </sheetViews>
  <sheetFormatPr defaultColWidth="11" defaultRowHeight="15.5" x14ac:dyDescent="0.35"/>
  <cols>
    <col min="1" max="1" width="15.08203125" bestFit="1" customWidth="1"/>
    <col min="2" max="2" width="18.33203125" bestFit="1" customWidth="1"/>
    <col min="5" max="5" width="12.5" bestFit="1" customWidth="1"/>
    <col min="6" max="6" width="17.58203125" bestFit="1" customWidth="1"/>
  </cols>
  <sheetData/>
  <sheetProtection algorithmName="SHA-512" hashValue="fAbVdn0tHAhs82U5jNkdaAzlOCXGNgCTBCh8U5f20+UcbNVZkEV0IXy6UoyN5Tr3XSQ0wRXpatJmPMws1X1s6g==" saltValue="1IgyrCoDtfYJdqUlG6wVCA==" spinCount="100000" sheet="1" objects="1" scenarios="1"/>
  <phoneticPr fontId="2" type="noConversion"/>
  <pageMargins left="0.7" right="0.7" top="0.75" bottom="0.75" header="0.3" footer="0.3"/>
  <pageSetup orientation="landscape" horizontalDpi="4294967292" verticalDpi="4294967292"/>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27"/>
  <sheetViews>
    <sheetView topLeftCell="A45" workbookViewId="0">
      <selection activeCell="D79" sqref="D79"/>
    </sheetView>
  </sheetViews>
  <sheetFormatPr defaultColWidth="11" defaultRowHeight="15.5" x14ac:dyDescent="0.35"/>
  <sheetData>
    <row r="2" spans="2:11" x14ac:dyDescent="0.35">
      <c r="B2" s="1"/>
      <c r="C2" s="1"/>
      <c r="D2" s="1"/>
      <c r="E2" s="4"/>
      <c r="F2" s="1"/>
      <c r="G2" s="1"/>
      <c r="H2" s="1"/>
      <c r="I2" s="1"/>
      <c r="J2" s="1"/>
      <c r="K2" s="1"/>
    </row>
    <row r="3" spans="2:11" ht="16" thickBot="1" x14ac:dyDescent="0.4">
      <c r="B3" s="1"/>
      <c r="C3" s="1"/>
      <c r="D3" s="1"/>
      <c r="E3" s="66"/>
      <c r="F3" s="37"/>
      <c r="G3" s="7"/>
      <c r="H3" s="1"/>
      <c r="I3" s="1"/>
      <c r="J3" s="1"/>
      <c r="K3" s="1"/>
    </row>
    <row r="4" spans="2:11" x14ac:dyDescent="0.35">
      <c r="B4" s="1"/>
      <c r="C4" s="1"/>
      <c r="D4" s="18" t="s">
        <v>51</v>
      </c>
      <c r="E4" s="117"/>
      <c r="F4" s="19" t="s">
        <v>50</v>
      </c>
      <c r="G4" s="1"/>
      <c r="H4" s="18" t="s">
        <v>53</v>
      </c>
      <c r="I4" s="19" t="s">
        <v>54</v>
      </c>
      <c r="J4" s="1"/>
      <c r="K4" s="1"/>
    </row>
    <row r="5" spans="2:11" x14ac:dyDescent="0.35">
      <c r="B5" s="1"/>
      <c r="C5" s="1"/>
      <c r="D5" s="239" t="s">
        <v>73</v>
      </c>
      <c r="E5" s="240"/>
      <c r="F5" s="56">
        <f>Budget!E5</f>
        <v>1000000</v>
      </c>
      <c r="G5" s="1"/>
      <c r="H5" s="22" t="s">
        <v>46</v>
      </c>
      <c r="I5" s="62">
        <f>Budget!H5</f>
        <v>6.0000000000000001E-3</v>
      </c>
      <c r="J5" s="1"/>
      <c r="K5" s="1"/>
    </row>
    <row r="6" spans="2:11" x14ac:dyDescent="0.35">
      <c r="B6" s="1"/>
      <c r="C6" s="1"/>
      <c r="D6" s="247" t="s">
        <v>60</v>
      </c>
      <c r="E6" s="248"/>
      <c r="F6" s="57">
        <f>Budget!E6</f>
        <v>10000</v>
      </c>
      <c r="G6" s="1"/>
      <c r="H6" s="43" t="s">
        <v>47</v>
      </c>
      <c r="I6" s="21">
        <f>Budget!H6</f>
        <v>0</v>
      </c>
      <c r="J6" s="1"/>
      <c r="K6" s="1"/>
    </row>
    <row r="7" spans="2:11" x14ac:dyDescent="0.35">
      <c r="B7" s="1"/>
      <c r="C7" s="1"/>
      <c r="D7" s="239" t="s">
        <v>55</v>
      </c>
      <c r="E7" s="240"/>
      <c r="F7" s="82">
        <f>Budget!E7</f>
        <v>1150</v>
      </c>
      <c r="G7" s="1"/>
      <c r="H7" s="20" t="s">
        <v>67</v>
      </c>
      <c r="I7" s="45">
        <f>Budget!H7</f>
        <v>7.0000000000000007E-2</v>
      </c>
      <c r="J7" s="1"/>
      <c r="K7" s="1"/>
    </row>
    <row r="8" spans="2:11" x14ac:dyDescent="0.35">
      <c r="B8" s="1"/>
      <c r="C8" s="1"/>
      <c r="D8" s="239" t="s">
        <v>56</v>
      </c>
      <c r="E8" s="240"/>
      <c r="F8" s="59"/>
      <c r="G8" s="1"/>
      <c r="H8" s="20" t="s">
        <v>62</v>
      </c>
      <c r="I8" s="45">
        <f>Budget!H8</f>
        <v>0.05</v>
      </c>
      <c r="J8" s="1"/>
      <c r="K8" s="1"/>
    </row>
    <row r="9" spans="2:11" ht="16" thickBot="1" x14ac:dyDescent="0.4">
      <c r="B9" s="1"/>
      <c r="C9" s="1"/>
      <c r="D9" s="237" t="s">
        <v>57</v>
      </c>
      <c r="E9" s="238"/>
      <c r="F9" s="60">
        <f>Budget!E9</f>
        <v>0.75</v>
      </c>
      <c r="G9" s="1"/>
      <c r="H9" s="44" t="s">
        <v>63</v>
      </c>
      <c r="I9" s="46">
        <f>Budget!H9</f>
        <v>3.5000000000000003E-2</v>
      </c>
      <c r="J9" s="1"/>
      <c r="K9" s="1"/>
    </row>
    <row r="10" spans="2:11" x14ac:dyDescent="0.35">
      <c r="B10" s="1"/>
      <c r="C10" s="1"/>
      <c r="D10" s="237" t="s">
        <v>58</v>
      </c>
      <c r="E10" s="238"/>
      <c r="F10" s="60">
        <f>Budget!E10</f>
        <v>0.8</v>
      </c>
      <c r="G10" s="1"/>
      <c r="H10" s="17"/>
      <c r="I10" s="1"/>
      <c r="J10" s="1"/>
      <c r="K10" s="1"/>
    </row>
    <row r="11" spans="2:11" x14ac:dyDescent="0.35">
      <c r="B11" s="1"/>
      <c r="C11" s="1"/>
      <c r="D11" s="237" t="s">
        <v>59</v>
      </c>
      <c r="E11" s="238"/>
      <c r="F11" s="132">
        <f>F9*F10</f>
        <v>0.60000000000000009</v>
      </c>
      <c r="G11" s="1"/>
      <c r="H11" s="138"/>
      <c r="I11" s="139"/>
      <c r="J11" s="1"/>
      <c r="K11" s="1"/>
    </row>
    <row r="12" spans="2:11" x14ac:dyDescent="0.35">
      <c r="B12" s="1"/>
      <c r="C12" s="1"/>
      <c r="D12" s="239" t="s">
        <v>52</v>
      </c>
      <c r="E12" s="240"/>
      <c r="F12" s="241"/>
      <c r="G12" s="1"/>
      <c r="H12" s="1"/>
      <c r="I12" s="1"/>
      <c r="J12" s="1"/>
      <c r="K12" s="1"/>
    </row>
    <row r="13" spans="2:11" x14ac:dyDescent="0.35">
      <c r="B13" s="1"/>
      <c r="C13" s="1"/>
      <c r="D13" s="237" t="s">
        <v>61</v>
      </c>
      <c r="E13" s="238"/>
      <c r="F13" s="60">
        <f>'Cash Cost Sensitivities (2)'!A30</f>
        <v>0.2</v>
      </c>
      <c r="G13" s="1"/>
      <c r="H13" s="1"/>
      <c r="I13" s="1"/>
      <c r="J13" s="1"/>
      <c r="K13" s="1"/>
    </row>
    <row r="14" spans="2:11" x14ac:dyDescent="0.35">
      <c r="B14" s="1"/>
      <c r="C14" s="1"/>
      <c r="D14" s="237" t="s">
        <v>62</v>
      </c>
      <c r="E14" s="238"/>
      <c r="F14" s="60">
        <f>'Cash Cost Sensitivities (2)'!B30</f>
        <v>0.45</v>
      </c>
      <c r="G14" s="1"/>
      <c r="H14" s="1"/>
      <c r="I14" s="1"/>
      <c r="J14" s="1"/>
      <c r="K14" s="1"/>
    </row>
    <row r="15" spans="2:11" x14ac:dyDescent="0.35">
      <c r="B15" s="1"/>
      <c r="C15" s="1"/>
      <c r="D15" s="237" t="s">
        <v>63</v>
      </c>
      <c r="E15" s="238"/>
      <c r="F15" s="105">
        <f>'Cash Cost Sensitivities (2)'!C30</f>
        <v>0.35</v>
      </c>
      <c r="G15" s="1"/>
      <c r="H15" s="1"/>
      <c r="I15" s="1"/>
      <c r="J15" s="1"/>
      <c r="K15" s="1"/>
    </row>
    <row r="16" spans="2:11" x14ac:dyDescent="0.35">
      <c r="B16" s="7"/>
      <c r="C16" s="7"/>
      <c r="D16" s="242" t="s">
        <v>103</v>
      </c>
      <c r="E16" s="243"/>
      <c r="F16" s="103"/>
      <c r="G16" s="1"/>
      <c r="H16" s="1"/>
      <c r="I16" s="1"/>
      <c r="J16" s="1"/>
      <c r="K16" s="1"/>
    </row>
    <row r="17" spans="2:11" x14ac:dyDescent="0.35">
      <c r="B17" s="1"/>
      <c r="C17" s="1"/>
      <c r="D17" s="250" t="s">
        <v>57</v>
      </c>
      <c r="E17" s="251"/>
      <c r="F17" s="106">
        <f>ROUND(F5/F6,0)</f>
        <v>100</v>
      </c>
      <c r="G17" s="1"/>
      <c r="H17" s="1"/>
      <c r="I17" s="1"/>
      <c r="J17" s="1"/>
      <c r="K17" s="1"/>
    </row>
    <row r="18" spans="2:11" ht="16" thickBot="1" x14ac:dyDescent="0.4">
      <c r="B18" s="2"/>
      <c r="C18" s="2"/>
      <c r="D18" s="252" t="s">
        <v>102</v>
      </c>
      <c r="E18" s="253"/>
      <c r="F18" s="104">
        <f>ROUND(F5*F9/F7,0)</f>
        <v>652</v>
      </c>
      <c r="G18" s="1"/>
      <c r="H18" s="1"/>
      <c r="I18" s="1"/>
      <c r="J18" s="1"/>
      <c r="K18" s="1"/>
    </row>
    <row r="19" spans="2:11" x14ac:dyDescent="0.35">
      <c r="B19" s="2"/>
      <c r="C19" s="2"/>
      <c r="D19" s="2"/>
      <c r="E19" s="14"/>
      <c r="F19" s="2"/>
      <c r="G19" s="1"/>
      <c r="H19" s="1"/>
      <c r="I19" s="1"/>
      <c r="J19" s="1"/>
      <c r="K19" s="1"/>
    </row>
    <row r="20" spans="2:11" ht="18.5" x14ac:dyDescent="0.45">
      <c r="B20" s="236" t="s">
        <v>12</v>
      </c>
      <c r="C20" s="236"/>
      <c r="D20" s="236"/>
      <c r="E20" s="236"/>
      <c r="F20" s="236"/>
      <c r="G20" s="236"/>
      <c r="H20" s="236"/>
      <c r="I20" s="236"/>
      <c r="J20" s="236"/>
      <c r="K20" s="236"/>
    </row>
    <row r="21" spans="2:11" ht="16" thickBot="1" x14ac:dyDescent="0.4">
      <c r="B21" s="23" t="s">
        <v>0</v>
      </c>
      <c r="C21" s="34" t="s">
        <v>1</v>
      </c>
      <c r="D21" s="33" t="s">
        <v>2</v>
      </c>
      <c r="E21" s="33" t="s">
        <v>72</v>
      </c>
      <c r="F21" s="33" t="s">
        <v>117</v>
      </c>
      <c r="G21" s="33" t="s">
        <v>3</v>
      </c>
      <c r="H21" s="33" t="s">
        <v>4</v>
      </c>
      <c r="I21" s="33" t="s">
        <v>5</v>
      </c>
      <c r="J21" s="33" t="s">
        <v>6</v>
      </c>
      <c r="K21" s="33" t="s">
        <v>7</v>
      </c>
    </row>
    <row r="22" spans="2:11" x14ac:dyDescent="0.35">
      <c r="B22" s="25" t="s">
        <v>8</v>
      </c>
      <c r="C22" s="68">
        <f>Budget!B22</f>
        <v>7</v>
      </c>
      <c r="D22" s="140">
        <f>Budget!C22</f>
        <v>4</v>
      </c>
      <c r="E22" s="146">
        <f>Budget!D22</f>
        <v>25</v>
      </c>
      <c r="F22" s="149">
        <f>Budget!E22</f>
        <v>175</v>
      </c>
      <c r="G22" s="149">
        <f>Budget!F22</f>
        <v>175</v>
      </c>
      <c r="H22" s="149">
        <f>Budget!G22</f>
        <v>180</v>
      </c>
      <c r="I22" s="149">
        <f>Budget!H22</f>
        <v>186</v>
      </c>
      <c r="J22" s="149">
        <f>Budget!I22</f>
        <v>191</v>
      </c>
      <c r="K22" s="149">
        <f>Budget!J22</f>
        <v>197</v>
      </c>
    </row>
    <row r="23" spans="2:11" x14ac:dyDescent="0.35">
      <c r="B23" s="16" t="s">
        <v>9</v>
      </c>
      <c r="C23" s="67">
        <f>Budget!B23</f>
        <v>6.2</v>
      </c>
      <c r="D23" s="141">
        <f>Budget!C23</f>
        <v>10</v>
      </c>
      <c r="E23" s="181">
        <f>Budget!D23</f>
        <v>65</v>
      </c>
      <c r="F23" s="150">
        <f>Budget!E23</f>
        <v>404</v>
      </c>
      <c r="G23" s="150">
        <f>Budget!F23</f>
        <v>403</v>
      </c>
      <c r="H23" s="150">
        <f>Budget!G23</f>
        <v>415</v>
      </c>
      <c r="I23" s="150">
        <f>Budget!H23</f>
        <v>428</v>
      </c>
      <c r="J23" s="150">
        <f>Budget!I23</f>
        <v>440</v>
      </c>
      <c r="K23" s="150">
        <f>Budget!J23</f>
        <v>454</v>
      </c>
    </row>
    <row r="24" spans="2:11" x14ac:dyDescent="0.35">
      <c r="B24" s="16" t="s">
        <v>10</v>
      </c>
      <c r="C24" s="67">
        <f>Budget!B24</f>
        <v>250</v>
      </c>
      <c r="D24" s="141">
        <f>Budget!C24</f>
        <v>3</v>
      </c>
      <c r="E24" s="182">
        <f>Budget!D24</f>
        <v>1</v>
      </c>
      <c r="F24" s="151">
        <f>Budget!E24</f>
        <v>0</v>
      </c>
      <c r="G24" s="150">
        <f>Budget!F24</f>
        <v>250</v>
      </c>
      <c r="H24" s="150">
        <f>Budget!G24</f>
        <v>0</v>
      </c>
      <c r="I24" s="150">
        <f>Budget!H24</f>
        <v>0</v>
      </c>
      <c r="J24" s="150">
        <f>Budget!I24</f>
        <v>273</v>
      </c>
      <c r="K24" s="150">
        <f>Budget!J24</f>
        <v>0</v>
      </c>
    </row>
    <row r="25" spans="2:11" x14ac:dyDescent="0.35">
      <c r="B25" s="16" t="s">
        <v>11</v>
      </c>
      <c r="C25" s="67">
        <f>Budget!B25</f>
        <v>18000</v>
      </c>
      <c r="D25" s="141">
        <f>Budget!C25</f>
        <v>7</v>
      </c>
      <c r="E25" s="141">
        <f>Budget!D25</f>
        <v>0</v>
      </c>
      <c r="F25" s="152">
        <f>Budget!E25</f>
        <v>0</v>
      </c>
      <c r="G25" s="150">
        <f>Budget!F25</f>
        <v>0</v>
      </c>
      <c r="H25" s="150">
        <f>Budget!G25</f>
        <v>0</v>
      </c>
      <c r="I25" s="150">
        <f>Budget!H25</f>
        <v>0</v>
      </c>
      <c r="J25" s="150">
        <f>Budget!I25</f>
        <v>0</v>
      </c>
      <c r="K25" s="150">
        <f>Budget!J25</f>
        <v>0</v>
      </c>
    </row>
    <row r="26" spans="2:11" x14ac:dyDescent="0.35">
      <c r="B26" s="16" t="s">
        <v>69</v>
      </c>
      <c r="C26" s="67">
        <f>Budget!B26</f>
        <v>28000</v>
      </c>
      <c r="D26" s="141">
        <f>Budget!C26</f>
        <v>10</v>
      </c>
      <c r="E26" s="141">
        <f>Budget!D26</f>
        <v>0</v>
      </c>
      <c r="F26" s="152">
        <f>Budget!E26</f>
        <v>0</v>
      </c>
      <c r="G26" s="150">
        <f>Budget!F26</f>
        <v>0</v>
      </c>
      <c r="H26" s="150">
        <f>Budget!G26</f>
        <v>0</v>
      </c>
      <c r="I26" s="150">
        <f>Budget!H26</f>
        <v>0</v>
      </c>
      <c r="J26" s="150">
        <f>Budget!I26</f>
        <v>0</v>
      </c>
      <c r="K26" s="150">
        <f>Budget!J26</f>
        <v>0</v>
      </c>
    </row>
    <row r="27" spans="2:11" x14ac:dyDescent="0.35">
      <c r="B27" s="16" t="s">
        <v>70</v>
      </c>
      <c r="C27" s="67">
        <f>Budget!B27</f>
        <v>10000</v>
      </c>
      <c r="D27" s="141">
        <f>Budget!C27</f>
        <v>3</v>
      </c>
      <c r="E27" s="141">
        <f>Budget!D27</f>
        <v>0</v>
      </c>
      <c r="F27" s="152">
        <f>Budget!E27</f>
        <v>0</v>
      </c>
      <c r="G27" s="150">
        <f>Budget!F27</f>
        <v>0</v>
      </c>
      <c r="H27" s="150">
        <f>Budget!G27</f>
        <v>0</v>
      </c>
      <c r="I27" s="150">
        <f>Budget!H27</f>
        <v>0</v>
      </c>
      <c r="J27" s="150">
        <f>Budget!I27</f>
        <v>0</v>
      </c>
      <c r="K27" s="150">
        <f>Budget!J27</f>
        <v>0</v>
      </c>
    </row>
    <row r="28" spans="2:11" ht="44" thickBot="1" x14ac:dyDescent="0.4">
      <c r="B28" s="98" t="s">
        <v>71</v>
      </c>
      <c r="C28" s="69">
        <f>Budget!B28</f>
        <v>1000</v>
      </c>
      <c r="D28" s="142">
        <f>Budget!C28</f>
        <v>5</v>
      </c>
      <c r="E28" s="142">
        <f>Budget!D28</f>
        <v>1</v>
      </c>
      <c r="F28" s="153">
        <f>Budget!E28</f>
        <v>0</v>
      </c>
      <c r="G28" s="154">
        <f>Budget!F28</f>
        <v>1000</v>
      </c>
      <c r="H28" s="154">
        <f>Budget!G28</f>
        <v>0</v>
      </c>
      <c r="I28" s="154">
        <f>Budget!H28</f>
        <v>0</v>
      </c>
      <c r="J28" s="154">
        <f>Budget!I28</f>
        <v>0</v>
      </c>
      <c r="K28" s="154">
        <f>Budget!J28</f>
        <v>0</v>
      </c>
    </row>
    <row r="29" spans="2:11" x14ac:dyDescent="0.35">
      <c r="B29" s="5" t="s">
        <v>45</v>
      </c>
      <c r="C29" s="6"/>
      <c r="D29" s="7"/>
      <c r="E29" s="7"/>
      <c r="F29" s="15"/>
      <c r="G29" s="15">
        <f>SUM(G22:G28)</f>
        <v>1828</v>
      </c>
      <c r="H29" s="15">
        <f>SUM(H22:H28)</f>
        <v>595</v>
      </c>
      <c r="I29" s="15">
        <f>SUM(I22:I28)</f>
        <v>614</v>
      </c>
      <c r="J29" s="15">
        <f>SUM(J22:J28)</f>
        <v>904</v>
      </c>
      <c r="K29" s="15">
        <f>SUM(K22:K28)</f>
        <v>651</v>
      </c>
    </row>
    <row r="30" spans="2:11" x14ac:dyDescent="0.35">
      <c r="B30" s="1"/>
      <c r="C30" s="1"/>
      <c r="D30" s="1"/>
      <c r="E30" s="4"/>
      <c r="F30" s="1"/>
      <c r="G30" s="1"/>
      <c r="H30" s="1"/>
      <c r="I30" s="1"/>
      <c r="J30" s="1"/>
      <c r="K30" s="1"/>
    </row>
    <row r="31" spans="2:11" x14ac:dyDescent="0.35">
      <c r="B31" s="107"/>
      <c r="C31" s="107"/>
      <c r="D31" s="107"/>
      <c r="E31" s="4"/>
      <c r="F31" s="1"/>
      <c r="G31" s="1"/>
      <c r="H31" s="1"/>
      <c r="I31" s="1"/>
      <c r="J31" s="1"/>
      <c r="K31" s="1"/>
    </row>
    <row r="32" spans="2:11" x14ac:dyDescent="0.35">
      <c r="B32" s="107"/>
      <c r="C32" s="107"/>
      <c r="D32" s="107"/>
      <c r="E32" s="4"/>
      <c r="F32" s="1"/>
      <c r="G32" s="1"/>
      <c r="H32" s="1"/>
      <c r="I32" s="1"/>
      <c r="J32" s="1"/>
      <c r="K32" s="1"/>
    </row>
    <row r="33" spans="2:11" x14ac:dyDescent="0.35">
      <c r="B33" s="107"/>
      <c r="C33" s="107"/>
      <c r="D33" s="107"/>
      <c r="E33" s="4"/>
      <c r="F33" s="1"/>
      <c r="G33" s="1"/>
      <c r="H33" s="1"/>
      <c r="I33" s="1"/>
      <c r="J33" s="1"/>
      <c r="K33" s="1"/>
    </row>
    <row r="34" spans="2:11" x14ac:dyDescent="0.35">
      <c r="B34" s="107"/>
      <c r="C34" s="107"/>
      <c r="D34" s="107"/>
      <c r="E34" s="4"/>
      <c r="F34" s="1"/>
      <c r="G34" s="1"/>
      <c r="H34" s="1"/>
      <c r="I34" s="1"/>
      <c r="J34" s="1"/>
      <c r="K34" s="1"/>
    </row>
    <row r="35" spans="2:11" x14ac:dyDescent="0.35">
      <c r="B35" s="107"/>
      <c r="C35" s="107"/>
      <c r="D35" s="107"/>
      <c r="E35" s="4"/>
      <c r="F35" s="1"/>
      <c r="G35" s="1"/>
      <c r="H35" s="1"/>
      <c r="I35" s="1"/>
      <c r="J35" s="1"/>
      <c r="K35" s="1"/>
    </row>
    <row r="36" spans="2:11" x14ac:dyDescent="0.35">
      <c r="B36" s="107"/>
      <c r="C36" s="107"/>
      <c r="D36" s="107"/>
      <c r="E36" s="4"/>
      <c r="F36" s="1"/>
      <c r="G36" s="1"/>
      <c r="H36" s="1"/>
      <c r="I36" s="1"/>
      <c r="J36" s="1"/>
      <c r="K36" s="1"/>
    </row>
    <row r="37" spans="2:11" ht="18.5" x14ac:dyDescent="0.45">
      <c r="B37" s="236" t="s">
        <v>14</v>
      </c>
      <c r="C37" s="236"/>
      <c r="D37" s="236"/>
      <c r="E37" s="236"/>
      <c r="F37" s="236"/>
      <c r="G37" s="236"/>
      <c r="H37" s="236"/>
      <c r="I37" s="236"/>
      <c r="J37" s="1"/>
      <c r="K37" s="1"/>
    </row>
    <row r="38" spans="2:11" ht="44" thickBot="1" x14ac:dyDescent="0.4">
      <c r="B38" s="33" t="s">
        <v>13</v>
      </c>
      <c r="C38" s="23" t="s">
        <v>107</v>
      </c>
      <c r="D38" s="122" t="s">
        <v>110</v>
      </c>
      <c r="E38" s="34" t="s">
        <v>3</v>
      </c>
      <c r="F38" s="33" t="s">
        <v>4</v>
      </c>
      <c r="G38" s="33" t="s">
        <v>5</v>
      </c>
      <c r="H38" s="33" t="s">
        <v>6</v>
      </c>
      <c r="I38" s="33" t="s">
        <v>7</v>
      </c>
      <c r="J38" s="1"/>
      <c r="K38" s="1"/>
    </row>
    <row r="39" spans="2:11" x14ac:dyDescent="0.35">
      <c r="B39" s="41" t="s">
        <v>14</v>
      </c>
      <c r="C39" s="1"/>
      <c r="D39" s="1"/>
      <c r="E39" s="32"/>
      <c r="F39" s="9"/>
      <c r="G39" s="9"/>
      <c r="H39" s="9"/>
      <c r="I39" s="102"/>
      <c r="J39" s="1"/>
      <c r="K39" s="1"/>
    </row>
    <row r="40" spans="2:11" x14ac:dyDescent="0.35">
      <c r="B40" s="25" t="s">
        <v>15</v>
      </c>
      <c r="C40" s="115">
        <f>$E$5</f>
        <v>0</v>
      </c>
      <c r="D40" s="118">
        <f>I5</f>
        <v>6.0000000000000001E-3</v>
      </c>
      <c r="E40" s="119">
        <f>C40*D40</f>
        <v>0</v>
      </c>
      <c r="F40" s="30">
        <v>6000</v>
      </c>
      <c r="G40" s="30">
        <v>6000</v>
      </c>
      <c r="H40" s="30">
        <v>6000</v>
      </c>
      <c r="I40" s="30">
        <v>6000</v>
      </c>
      <c r="J40" s="12"/>
      <c r="K40" s="12"/>
    </row>
    <row r="41" spans="2:11" x14ac:dyDescent="0.35">
      <c r="B41" s="16" t="s">
        <v>108</v>
      </c>
      <c r="C41" s="116">
        <f>F17+F18</f>
        <v>752</v>
      </c>
      <c r="D41" s="67">
        <f>Budget!C35</f>
        <v>2</v>
      </c>
      <c r="E41" s="125">
        <f>C41*D41</f>
        <v>1504</v>
      </c>
      <c r="F41" s="29">
        <f>ROUND(E41+E41*0.03,0)</f>
        <v>1549</v>
      </c>
      <c r="G41" s="29">
        <f>ROUND(F41+F41*0.03,0)</f>
        <v>1595</v>
      </c>
      <c r="H41" s="29">
        <f t="shared" ref="H41:I52" si="0">ROUND(G41+G41*0.03,0)</f>
        <v>1643</v>
      </c>
      <c r="I41" s="29">
        <f t="shared" si="0"/>
        <v>1692</v>
      </c>
      <c r="J41" s="1"/>
      <c r="K41" s="1"/>
    </row>
    <row r="42" spans="2:11" x14ac:dyDescent="0.35">
      <c r="B42" s="16" t="s">
        <v>16</v>
      </c>
      <c r="C42" s="131">
        <f>Budget!B36</f>
        <v>205</v>
      </c>
      <c r="D42" s="67">
        <f>Budget!C36</f>
        <v>3.5</v>
      </c>
      <c r="E42" s="125">
        <f>C42*D42</f>
        <v>717.5</v>
      </c>
      <c r="F42" s="29">
        <f t="shared" ref="F42:G48" si="1">ROUND(E42+E42*0.03,0)</f>
        <v>739</v>
      </c>
      <c r="G42" s="29">
        <f t="shared" si="1"/>
        <v>761</v>
      </c>
      <c r="H42" s="29">
        <f t="shared" si="0"/>
        <v>784</v>
      </c>
      <c r="I42" s="29">
        <f t="shared" si="0"/>
        <v>808</v>
      </c>
      <c r="J42" s="1"/>
      <c r="K42" s="1"/>
    </row>
    <row r="43" spans="2:11" x14ac:dyDescent="0.35">
      <c r="B43" s="16" t="s">
        <v>17</v>
      </c>
      <c r="C43" s="131">
        <f>Budget!B37</f>
        <v>205</v>
      </c>
      <c r="D43" s="67">
        <f>Budget!C37</f>
        <v>3.5</v>
      </c>
      <c r="E43" s="125">
        <f>C43*D43</f>
        <v>717.5</v>
      </c>
      <c r="F43" s="29">
        <f t="shared" si="1"/>
        <v>739</v>
      </c>
      <c r="G43" s="29">
        <f t="shared" si="1"/>
        <v>761</v>
      </c>
      <c r="H43" s="29">
        <f t="shared" si="0"/>
        <v>784</v>
      </c>
      <c r="I43" s="29">
        <f t="shared" si="0"/>
        <v>808</v>
      </c>
      <c r="J43" s="1"/>
      <c r="K43" s="1"/>
    </row>
    <row r="44" spans="2:11" x14ac:dyDescent="0.35">
      <c r="B44" s="16" t="s">
        <v>18</v>
      </c>
      <c r="C44" s="164">
        <f>Budget!B38</f>
        <v>1</v>
      </c>
      <c r="D44" s="67">
        <f>Budget!C38</f>
        <v>100</v>
      </c>
      <c r="E44" s="125">
        <f>C44*D44</f>
        <v>100</v>
      </c>
      <c r="F44" s="29">
        <f t="shared" si="1"/>
        <v>103</v>
      </c>
      <c r="G44" s="29">
        <f t="shared" si="1"/>
        <v>106</v>
      </c>
      <c r="H44" s="29">
        <f t="shared" si="0"/>
        <v>109</v>
      </c>
      <c r="I44" s="29">
        <f t="shared" si="0"/>
        <v>112</v>
      </c>
      <c r="J44" s="1"/>
      <c r="K44" s="1"/>
    </row>
    <row r="45" spans="2:11" x14ac:dyDescent="0.35">
      <c r="B45" s="16" t="s">
        <v>77</v>
      </c>
      <c r="C45" s="121"/>
      <c r="D45" s="67">
        <f>Budget!C39</f>
        <v>2800</v>
      </c>
      <c r="E45" s="125">
        <f>D45</f>
        <v>2800</v>
      </c>
      <c r="F45" s="29">
        <f t="shared" si="1"/>
        <v>2884</v>
      </c>
      <c r="G45" s="29">
        <f t="shared" si="1"/>
        <v>2971</v>
      </c>
      <c r="H45" s="29">
        <f t="shared" si="0"/>
        <v>3060</v>
      </c>
      <c r="I45" s="29">
        <f t="shared" si="0"/>
        <v>3152</v>
      </c>
      <c r="J45" s="1"/>
      <c r="K45" s="1"/>
    </row>
    <row r="46" spans="2:11" x14ac:dyDescent="0.35">
      <c r="B46" s="16" t="s">
        <v>78</v>
      </c>
      <c r="C46" s="120">
        <f>ROUND(0.75*F17+0.9*F18,0)</f>
        <v>662</v>
      </c>
      <c r="D46" s="67">
        <f>Budget!C40</f>
        <v>1.25</v>
      </c>
      <c r="E46" s="125">
        <f>C46*D46</f>
        <v>827.5</v>
      </c>
      <c r="F46" s="29">
        <f t="shared" si="1"/>
        <v>852</v>
      </c>
      <c r="G46" s="29">
        <f t="shared" si="1"/>
        <v>878</v>
      </c>
      <c r="H46" s="29">
        <f t="shared" si="0"/>
        <v>904</v>
      </c>
      <c r="I46" s="29">
        <f t="shared" si="0"/>
        <v>931</v>
      </c>
      <c r="J46" s="1"/>
      <c r="K46" s="1"/>
    </row>
    <row r="47" spans="2:11" x14ac:dyDescent="0.35">
      <c r="B47" s="16" t="s">
        <v>111</v>
      </c>
      <c r="C47" s="120"/>
      <c r="D47" s="67">
        <f>Budget!C41</f>
        <v>4400</v>
      </c>
      <c r="E47" s="125">
        <f>D47</f>
        <v>4400</v>
      </c>
      <c r="F47" s="119">
        <f t="shared" si="1"/>
        <v>4532</v>
      </c>
      <c r="G47" s="119">
        <f t="shared" si="1"/>
        <v>4668</v>
      </c>
      <c r="H47" s="119">
        <f t="shared" si="0"/>
        <v>4808</v>
      </c>
      <c r="I47" s="119">
        <f t="shared" si="0"/>
        <v>4952</v>
      </c>
      <c r="J47" s="1"/>
      <c r="K47" s="1"/>
    </row>
    <row r="48" spans="2:11" x14ac:dyDescent="0.35">
      <c r="B48" s="16" t="s">
        <v>66</v>
      </c>
      <c r="C48" s="120"/>
      <c r="D48" s="67">
        <f>Budget!C42</f>
        <v>250</v>
      </c>
      <c r="E48" s="125">
        <f>D48</f>
        <v>250</v>
      </c>
      <c r="F48" s="29">
        <f t="shared" si="1"/>
        <v>258</v>
      </c>
      <c r="G48" s="29">
        <f t="shared" si="1"/>
        <v>266</v>
      </c>
      <c r="H48" s="29">
        <f t="shared" si="0"/>
        <v>274</v>
      </c>
      <c r="I48" s="29">
        <f t="shared" si="0"/>
        <v>282</v>
      </c>
      <c r="J48" s="1"/>
      <c r="K48" s="1"/>
    </row>
    <row r="49" spans="2:11" x14ac:dyDescent="0.35">
      <c r="B49" s="42" t="s">
        <v>68</v>
      </c>
      <c r="C49" s="114"/>
      <c r="D49" s="114"/>
      <c r="E49" s="126"/>
      <c r="F49" s="35"/>
      <c r="G49" s="35"/>
      <c r="H49" s="35"/>
      <c r="I49" s="36"/>
      <c r="J49" s="12"/>
      <c r="K49" s="12"/>
    </row>
    <row r="50" spans="2:11" x14ac:dyDescent="0.35">
      <c r="B50" s="16" t="s">
        <v>48</v>
      </c>
      <c r="C50" s="47">
        <f>Budget!B44</f>
        <v>1</v>
      </c>
      <c r="D50" s="47">
        <f>Budget!C44</f>
        <v>750</v>
      </c>
      <c r="E50" s="127">
        <v>750</v>
      </c>
      <c r="F50" s="29">
        <f>ROUND(E50+E50*0.03,0)</f>
        <v>773</v>
      </c>
      <c r="G50" s="29">
        <f>ROUND(F50+F50*0.03,0)</f>
        <v>796</v>
      </c>
      <c r="H50" s="29">
        <f t="shared" si="0"/>
        <v>820</v>
      </c>
      <c r="I50" s="29">
        <f t="shared" si="0"/>
        <v>845</v>
      </c>
      <c r="J50" s="1"/>
      <c r="K50" s="1"/>
    </row>
    <row r="51" spans="2:11" x14ac:dyDescent="0.35">
      <c r="B51" s="16" t="s">
        <v>49</v>
      </c>
      <c r="C51" s="47">
        <f>Budget!B45</f>
        <v>1</v>
      </c>
      <c r="D51" s="47">
        <f>Budget!C45</f>
        <v>250</v>
      </c>
      <c r="E51" s="127">
        <v>250</v>
      </c>
      <c r="F51" s="29">
        <v>250</v>
      </c>
      <c r="G51" s="29">
        <v>250</v>
      </c>
      <c r="H51" s="29">
        <v>250</v>
      </c>
      <c r="I51" s="29">
        <v>250</v>
      </c>
      <c r="J51" s="1"/>
      <c r="K51" s="1"/>
    </row>
    <row r="52" spans="2:11" x14ac:dyDescent="0.35">
      <c r="B52" s="16" t="s">
        <v>20</v>
      </c>
      <c r="C52" s="47">
        <f>Budget!B46</f>
        <v>1</v>
      </c>
      <c r="D52" s="47">
        <f>Budget!C46</f>
        <v>500</v>
      </c>
      <c r="E52" s="127">
        <v>500</v>
      </c>
      <c r="F52" s="29">
        <f>ROUND(E52+E52*0.03,0)</f>
        <v>515</v>
      </c>
      <c r="G52" s="29">
        <f>ROUND(F52+F52*0.03,0)</f>
        <v>530</v>
      </c>
      <c r="H52" s="29">
        <f t="shared" si="0"/>
        <v>546</v>
      </c>
      <c r="I52" s="29">
        <f t="shared" si="0"/>
        <v>562</v>
      </c>
      <c r="J52" s="1"/>
      <c r="K52" s="1"/>
    </row>
    <row r="53" spans="2:11" x14ac:dyDescent="0.35">
      <c r="B53" s="108" t="s">
        <v>104</v>
      </c>
      <c r="C53" s="130">
        <f>Budget!B47</f>
        <v>1</v>
      </c>
      <c r="D53" s="130">
        <f>Budget!C47</f>
        <v>27</v>
      </c>
      <c r="E53" s="128">
        <v>27</v>
      </c>
      <c r="F53" s="109">
        <v>27</v>
      </c>
      <c r="G53" s="109">
        <v>27</v>
      </c>
      <c r="H53" s="109">
        <v>27</v>
      </c>
      <c r="I53" s="109">
        <v>27</v>
      </c>
      <c r="J53" s="1"/>
      <c r="K53" s="1"/>
    </row>
    <row r="54" spans="2:11" ht="16" thickBot="1" x14ac:dyDescent="0.4">
      <c r="B54" s="27" t="s">
        <v>21</v>
      </c>
      <c r="C54" s="48">
        <f>Budget!B48</f>
        <v>1</v>
      </c>
      <c r="D54" s="48">
        <f>Budget!C48</f>
        <v>100</v>
      </c>
      <c r="E54" s="129">
        <v>100</v>
      </c>
      <c r="F54" s="110">
        <v>100</v>
      </c>
      <c r="G54" s="110">
        <v>100</v>
      </c>
      <c r="H54" s="110">
        <v>100</v>
      </c>
      <c r="I54" s="110">
        <v>100</v>
      </c>
      <c r="J54" s="1"/>
      <c r="K54" s="1"/>
    </row>
    <row r="55" spans="2:11" x14ac:dyDescent="0.35">
      <c r="B55" s="3" t="s">
        <v>22</v>
      </c>
      <c r="C55" s="3"/>
      <c r="D55" s="3"/>
      <c r="E55" s="10">
        <f>SUM(E40:E54)</f>
        <v>12943.5</v>
      </c>
      <c r="F55" s="10">
        <f>SUM(F40:F54)</f>
        <v>19321</v>
      </c>
      <c r="G55" s="10">
        <f>SUM(G40:G54)</f>
        <v>19709</v>
      </c>
      <c r="H55" s="10">
        <f>SUM(H40:H54)</f>
        <v>20109</v>
      </c>
      <c r="I55" s="10">
        <f>SUM(I40:I54)</f>
        <v>20521</v>
      </c>
      <c r="J55" s="1"/>
      <c r="K55" s="1"/>
    </row>
    <row r="56" spans="2:11" x14ac:dyDescent="0.35">
      <c r="B56" s="3"/>
      <c r="C56" s="3"/>
      <c r="D56" s="3"/>
      <c r="E56" s="10"/>
      <c r="F56" s="10"/>
      <c r="G56" s="10"/>
      <c r="H56" s="10"/>
      <c r="I56" s="10"/>
      <c r="J56" s="1"/>
      <c r="K56" s="1"/>
    </row>
    <row r="57" spans="2:11" x14ac:dyDescent="0.35">
      <c r="B57" s="3"/>
      <c r="C57" s="3"/>
      <c r="D57" s="3"/>
      <c r="E57" s="10"/>
      <c r="F57" s="10"/>
      <c r="G57" s="10"/>
      <c r="H57" s="10"/>
      <c r="I57" s="10"/>
      <c r="J57" s="1"/>
      <c r="K57" s="1"/>
    </row>
    <row r="58" spans="2:11" x14ac:dyDescent="0.35">
      <c r="B58" s="1"/>
      <c r="C58" s="1"/>
      <c r="D58" s="1"/>
      <c r="E58" s="8"/>
      <c r="F58" s="8"/>
      <c r="G58" s="8"/>
      <c r="H58" s="8"/>
      <c r="I58" s="8"/>
      <c r="J58" s="1"/>
      <c r="K58" s="1"/>
    </row>
    <row r="59" spans="2:11" ht="18.5" x14ac:dyDescent="0.45">
      <c r="B59" s="236" t="s">
        <v>76</v>
      </c>
      <c r="C59" s="236"/>
      <c r="D59" s="236"/>
      <c r="E59" s="236"/>
      <c r="F59" s="236"/>
      <c r="G59" s="236"/>
      <c r="H59" s="236"/>
      <c r="I59" s="236"/>
      <c r="J59" s="1"/>
      <c r="K59" s="1"/>
    </row>
    <row r="60" spans="2:11" ht="16" thickBot="1" x14ac:dyDescent="0.4">
      <c r="B60" s="37"/>
      <c r="C60" s="34" t="s">
        <v>3</v>
      </c>
      <c r="D60" s="33" t="s">
        <v>4</v>
      </c>
      <c r="E60" s="33" t="s">
        <v>5</v>
      </c>
      <c r="F60" s="33" t="s">
        <v>6</v>
      </c>
      <c r="G60" s="33" t="s">
        <v>7</v>
      </c>
      <c r="H60" s="1"/>
      <c r="I60" s="1"/>
      <c r="J60" s="1"/>
      <c r="K60" s="1"/>
    </row>
    <row r="61" spans="2:11" x14ac:dyDescent="0.35">
      <c r="B61" s="25" t="s">
        <v>23</v>
      </c>
      <c r="C61" s="155">
        <f>Budget!$B$56</f>
        <v>0</v>
      </c>
      <c r="D61" s="39">
        <f>C68</f>
        <v>14478.500000000007</v>
      </c>
      <c r="E61" s="39">
        <f>D68</f>
        <v>23812.500000000015</v>
      </c>
      <c r="F61" s="39">
        <f>E68</f>
        <v>32739.500000000022</v>
      </c>
      <c r="G61" s="39">
        <f>F68</f>
        <v>40976.500000000029</v>
      </c>
      <c r="H61" s="1"/>
      <c r="I61" s="1"/>
      <c r="J61" s="1"/>
      <c r="K61" s="1"/>
    </row>
    <row r="62" spans="2:11" x14ac:dyDescent="0.35">
      <c r="B62" s="16" t="s">
        <v>24</v>
      </c>
      <c r="C62" s="38">
        <f>F90</f>
        <v>29250.000000000007</v>
      </c>
      <c r="D62" s="38">
        <f>F90</f>
        <v>29250.000000000007</v>
      </c>
      <c r="E62" s="38">
        <f>F90</f>
        <v>29250.000000000007</v>
      </c>
      <c r="F62" s="38">
        <f>F90</f>
        <v>29250.000000000007</v>
      </c>
      <c r="G62" s="38">
        <f>F90</f>
        <v>29250.000000000007</v>
      </c>
      <c r="H62" s="1"/>
      <c r="I62" s="1"/>
      <c r="J62" s="1"/>
      <c r="K62" s="1"/>
    </row>
    <row r="63" spans="2:11" x14ac:dyDescent="0.35">
      <c r="B63" s="16" t="s">
        <v>25</v>
      </c>
      <c r="C63" s="38"/>
      <c r="D63" s="38"/>
      <c r="E63" s="38"/>
      <c r="F63" s="38"/>
      <c r="G63" s="38"/>
      <c r="H63" s="1"/>
      <c r="I63" s="1"/>
      <c r="J63" s="1"/>
      <c r="K63" s="1"/>
    </row>
    <row r="64" spans="2:11" x14ac:dyDescent="0.35">
      <c r="B64" s="16" t="s">
        <v>64</v>
      </c>
      <c r="C64" s="38">
        <f>E55</f>
        <v>12943.5</v>
      </c>
      <c r="D64" s="38">
        <f>F55</f>
        <v>19321</v>
      </c>
      <c r="E64" s="38">
        <f>G55</f>
        <v>19709</v>
      </c>
      <c r="F64" s="38">
        <f>H55</f>
        <v>20109</v>
      </c>
      <c r="G64" s="38">
        <f>I55</f>
        <v>20521</v>
      </c>
      <c r="H64" s="1"/>
      <c r="I64" s="1"/>
      <c r="J64" s="1"/>
      <c r="K64" s="1"/>
    </row>
    <row r="65" spans="2:11" x14ac:dyDescent="0.35">
      <c r="B65" s="16" t="s">
        <v>65</v>
      </c>
      <c r="C65" s="38">
        <f>G29</f>
        <v>1828</v>
      </c>
      <c r="D65" s="38">
        <f>H29</f>
        <v>595</v>
      </c>
      <c r="E65" s="38">
        <f>I29</f>
        <v>614</v>
      </c>
      <c r="F65" s="38">
        <f>J29</f>
        <v>904</v>
      </c>
      <c r="G65" s="38">
        <f>K29</f>
        <v>651</v>
      </c>
      <c r="H65" s="1"/>
      <c r="I65" s="1"/>
      <c r="J65" s="1"/>
      <c r="K65" s="1"/>
    </row>
    <row r="66" spans="2:11" x14ac:dyDescent="0.35">
      <c r="B66" s="16" t="s">
        <v>28</v>
      </c>
      <c r="C66" s="38">
        <f>C64+C65</f>
        <v>14771.5</v>
      </c>
      <c r="D66" s="38">
        <f>D64+D65</f>
        <v>19916</v>
      </c>
      <c r="E66" s="38">
        <f>E64+E65</f>
        <v>20323</v>
      </c>
      <c r="F66" s="38">
        <f>F64+F65</f>
        <v>21013</v>
      </c>
      <c r="G66" s="38">
        <f>G64+G65</f>
        <v>21172</v>
      </c>
      <c r="H66" s="1"/>
      <c r="I66" s="1"/>
      <c r="J66" s="1"/>
      <c r="K66" s="1"/>
    </row>
    <row r="67" spans="2:11" x14ac:dyDescent="0.35">
      <c r="B67" s="16" t="s">
        <v>26</v>
      </c>
      <c r="C67" s="38">
        <f>C62-C66</f>
        <v>14478.500000000007</v>
      </c>
      <c r="D67" s="38">
        <f>D62-D66</f>
        <v>9334.0000000000073</v>
      </c>
      <c r="E67" s="38">
        <f>E62-E66</f>
        <v>8927.0000000000073</v>
      </c>
      <c r="F67" s="38">
        <f>F62-F66</f>
        <v>8237.0000000000073</v>
      </c>
      <c r="G67" s="38">
        <f>G62-G66</f>
        <v>8078.0000000000073</v>
      </c>
      <c r="H67" s="1"/>
      <c r="I67" s="1"/>
      <c r="J67" s="1"/>
      <c r="K67" s="1"/>
    </row>
    <row r="68" spans="2:11" x14ac:dyDescent="0.35">
      <c r="B68" s="16" t="s">
        <v>27</v>
      </c>
      <c r="C68" s="38">
        <f>C61+C67</f>
        <v>14478.500000000007</v>
      </c>
      <c r="D68" s="38">
        <f>D61+D67</f>
        <v>23812.500000000015</v>
      </c>
      <c r="E68" s="38">
        <f>E61+E67</f>
        <v>32739.500000000022</v>
      </c>
      <c r="F68" s="38">
        <f>F61+F67</f>
        <v>40976.500000000029</v>
      </c>
      <c r="G68" s="38">
        <f>G61+G67</f>
        <v>49054.500000000036</v>
      </c>
      <c r="H68" s="1"/>
      <c r="I68" s="1"/>
      <c r="J68" s="1"/>
      <c r="K68" s="1"/>
    </row>
    <row r="69" spans="2:11" x14ac:dyDescent="0.35">
      <c r="B69" s="7"/>
      <c r="C69" s="7"/>
      <c r="D69" s="7"/>
      <c r="E69" s="40"/>
      <c r="F69" s="40"/>
      <c r="G69" s="40"/>
      <c r="H69" s="40"/>
      <c r="I69" s="40"/>
      <c r="J69" s="1"/>
      <c r="K69" s="1"/>
    </row>
    <row r="70" spans="2:11" ht="21.5" x14ac:dyDescent="0.75">
      <c r="B70" s="107"/>
      <c r="C70" s="107"/>
      <c r="D70" s="107"/>
      <c r="E70" s="244" t="s">
        <v>118</v>
      </c>
      <c r="F70" s="244"/>
      <c r="G70" s="1"/>
      <c r="H70" s="1"/>
      <c r="I70" s="1"/>
      <c r="J70" s="1"/>
      <c r="K70" s="1"/>
    </row>
    <row r="71" spans="2:11" x14ac:dyDescent="0.35">
      <c r="B71" s="107"/>
      <c r="C71" s="107"/>
      <c r="D71" s="107"/>
      <c r="E71" s="145"/>
      <c r="F71" s="145"/>
      <c r="G71" s="1"/>
      <c r="H71" s="1"/>
      <c r="I71" s="1"/>
      <c r="J71" s="1"/>
      <c r="K71" s="1"/>
    </row>
    <row r="72" spans="2:11" ht="16" thickBot="1" x14ac:dyDescent="0.4">
      <c r="B72" s="23" t="s">
        <v>0</v>
      </c>
      <c r="C72" s="34" t="s">
        <v>1</v>
      </c>
      <c r="D72" s="33" t="s">
        <v>2</v>
      </c>
      <c r="E72" s="33" t="s">
        <v>3</v>
      </c>
      <c r="F72" s="33" t="s">
        <v>4</v>
      </c>
      <c r="G72" s="33" t="s">
        <v>5</v>
      </c>
      <c r="H72" s="33" t="s">
        <v>6</v>
      </c>
      <c r="I72" s="33" t="s">
        <v>7</v>
      </c>
      <c r="J72" s="1"/>
      <c r="K72" s="1"/>
    </row>
    <row r="73" spans="2:11" x14ac:dyDescent="0.35">
      <c r="B73" s="25" t="s">
        <v>8</v>
      </c>
      <c r="C73" s="144">
        <f t="shared" ref="C73:C79" si="2">C22</f>
        <v>7</v>
      </c>
      <c r="D73" s="140">
        <v>4</v>
      </c>
      <c r="E73" s="26">
        <f>ROUND(F17*C73/D73,0)</f>
        <v>175</v>
      </c>
      <c r="F73" s="26">
        <f>ROUND((E73+E73*0.03),0)</f>
        <v>180</v>
      </c>
      <c r="G73" s="26">
        <f t="shared" ref="G73:I75" si="3">ROUND(F73+F73*0.03,0)</f>
        <v>185</v>
      </c>
      <c r="H73" s="26">
        <f t="shared" si="3"/>
        <v>191</v>
      </c>
      <c r="I73" s="26">
        <f t="shared" si="3"/>
        <v>197</v>
      </c>
      <c r="J73" s="1"/>
      <c r="K73" s="1"/>
    </row>
    <row r="74" spans="2:11" x14ac:dyDescent="0.35">
      <c r="B74" s="16" t="s">
        <v>9</v>
      </c>
      <c r="C74" s="144">
        <f t="shared" si="2"/>
        <v>6.2</v>
      </c>
      <c r="D74" s="141">
        <v>10</v>
      </c>
      <c r="E74" s="26">
        <f>ROUND(F18*C74/D74,0)</f>
        <v>404</v>
      </c>
      <c r="F74" s="26">
        <f>ROUND((E74+E74*0.03),0)</f>
        <v>416</v>
      </c>
      <c r="G74" s="26">
        <f t="shared" si="3"/>
        <v>428</v>
      </c>
      <c r="H74" s="26">
        <f t="shared" si="3"/>
        <v>441</v>
      </c>
      <c r="I74" s="26">
        <f t="shared" si="3"/>
        <v>454</v>
      </c>
      <c r="J74" s="1"/>
      <c r="K74" s="1"/>
    </row>
    <row r="75" spans="2:11" x14ac:dyDescent="0.35">
      <c r="B75" s="16" t="s">
        <v>10</v>
      </c>
      <c r="C75" s="144">
        <f t="shared" si="2"/>
        <v>250</v>
      </c>
      <c r="D75" s="141">
        <v>3</v>
      </c>
      <c r="E75" s="24">
        <f>C75/D75</f>
        <v>83.333333333333329</v>
      </c>
      <c r="F75" s="24">
        <f>ROUND(E75+E75*0.03,0)</f>
        <v>86</v>
      </c>
      <c r="G75" s="24">
        <f t="shared" si="3"/>
        <v>89</v>
      </c>
      <c r="H75" s="24">
        <f t="shared" si="3"/>
        <v>92</v>
      </c>
      <c r="I75" s="24">
        <f t="shared" si="3"/>
        <v>95</v>
      </c>
      <c r="J75" s="1"/>
      <c r="K75" s="1"/>
    </row>
    <row r="76" spans="2:11" x14ac:dyDescent="0.35">
      <c r="B76" s="16" t="s">
        <v>11</v>
      </c>
      <c r="C76" s="144">
        <f t="shared" si="2"/>
        <v>18000</v>
      </c>
      <c r="D76" s="141">
        <v>7</v>
      </c>
      <c r="E76" s="24">
        <f>Budget!D72</f>
        <v>0</v>
      </c>
      <c r="F76" s="24">
        <f>Budget!E72</f>
        <v>0</v>
      </c>
      <c r="G76" s="24">
        <f>Budget!F72</f>
        <v>0</v>
      </c>
      <c r="H76" s="24">
        <f>Budget!G72</f>
        <v>0</v>
      </c>
      <c r="I76" s="24">
        <f>Budget!H72</f>
        <v>0</v>
      </c>
      <c r="J76" s="1"/>
      <c r="K76" s="1"/>
    </row>
    <row r="77" spans="2:11" x14ac:dyDescent="0.35">
      <c r="B77" s="16" t="s">
        <v>69</v>
      </c>
      <c r="C77" s="144">
        <f t="shared" si="2"/>
        <v>28000</v>
      </c>
      <c r="D77" s="141">
        <v>10</v>
      </c>
      <c r="E77" s="24">
        <f>Budget!D73</f>
        <v>0</v>
      </c>
      <c r="F77" s="24">
        <f>Budget!E73</f>
        <v>0</v>
      </c>
      <c r="G77" s="24">
        <f>Budget!F73</f>
        <v>0</v>
      </c>
      <c r="H77" s="24">
        <f>Budget!G73</f>
        <v>0</v>
      </c>
      <c r="I77" s="24">
        <f>Budget!H73</f>
        <v>0</v>
      </c>
      <c r="J77" s="1"/>
      <c r="K77" s="1"/>
    </row>
    <row r="78" spans="2:11" x14ac:dyDescent="0.35">
      <c r="B78" s="16" t="s">
        <v>70</v>
      </c>
      <c r="C78" s="144">
        <f t="shared" si="2"/>
        <v>10000</v>
      </c>
      <c r="D78" s="141">
        <v>3</v>
      </c>
      <c r="E78" s="24">
        <f>Budget!D74</f>
        <v>0</v>
      </c>
      <c r="F78" s="24">
        <f>Budget!E74</f>
        <v>0</v>
      </c>
      <c r="G78" s="24">
        <f>Budget!F74</f>
        <v>0</v>
      </c>
      <c r="H78" s="24">
        <f>Budget!G74</f>
        <v>0</v>
      </c>
      <c r="I78" s="24">
        <f>Budget!H74</f>
        <v>0</v>
      </c>
      <c r="J78" s="1"/>
      <c r="K78" s="1"/>
    </row>
    <row r="79" spans="2:11" ht="44" thickBot="1" x14ac:dyDescent="0.4">
      <c r="B79" s="98" t="s">
        <v>71</v>
      </c>
      <c r="C79" s="129">
        <f t="shared" si="2"/>
        <v>1000</v>
      </c>
      <c r="D79" s="142">
        <v>5</v>
      </c>
      <c r="E79" s="28">
        <f>ROUND(C79/D79,0)</f>
        <v>200</v>
      </c>
      <c r="F79" s="28">
        <f>ROUND(E79+E79*0.03,0)</f>
        <v>206</v>
      </c>
      <c r="G79" s="28">
        <f>ROUND(F79+F79*0.03,0)</f>
        <v>212</v>
      </c>
      <c r="H79" s="28">
        <f>ROUND(G79+G79*0.03,0)</f>
        <v>218</v>
      </c>
      <c r="I79" s="28">
        <f>ROUND(H79+H79*0.03,0)</f>
        <v>225</v>
      </c>
      <c r="J79" s="1"/>
      <c r="K79" s="1"/>
    </row>
    <row r="80" spans="2:11" x14ac:dyDescent="0.35">
      <c r="B80" s="5" t="s">
        <v>45</v>
      </c>
      <c r="C80" s="6"/>
      <c r="D80" s="7"/>
      <c r="E80" s="15">
        <f>SUM(E73:E79)</f>
        <v>862.33333333333337</v>
      </c>
      <c r="F80" s="15">
        <f>SUM(F73:F79)</f>
        <v>888</v>
      </c>
      <c r="G80" s="15">
        <f>SUM(G73:G79)</f>
        <v>914</v>
      </c>
      <c r="H80" s="15">
        <f>SUM(H73:H79)</f>
        <v>942</v>
      </c>
      <c r="I80" s="15">
        <f>SUM(I73:I79)</f>
        <v>971</v>
      </c>
      <c r="J80" s="1"/>
      <c r="K80" s="1"/>
    </row>
    <row r="81" spans="2:11" x14ac:dyDescent="0.35">
      <c r="B81" s="7"/>
      <c r="C81" s="7"/>
      <c r="D81" s="7"/>
      <c r="E81" s="40"/>
      <c r="F81" s="40"/>
      <c r="G81" s="40"/>
      <c r="H81" s="40"/>
      <c r="I81" s="40"/>
      <c r="J81" s="1"/>
      <c r="K81" s="1"/>
    </row>
    <row r="82" spans="2:11" x14ac:dyDescent="0.35">
      <c r="B82" s="1"/>
      <c r="C82" s="1"/>
      <c r="D82" s="1"/>
      <c r="E82" s="4"/>
      <c r="F82" s="1"/>
      <c r="G82" s="1"/>
      <c r="H82" s="1"/>
      <c r="I82" s="1"/>
      <c r="J82" s="1"/>
      <c r="K82" s="1"/>
    </row>
    <row r="83" spans="2:11" ht="18.5" x14ac:dyDescent="0.45">
      <c r="B83" s="236" t="s">
        <v>75</v>
      </c>
      <c r="C83" s="236"/>
      <c r="D83" s="236"/>
      <c r="E83" s="236"/>
      <c r="F83" s="236"/>
      <c r="G83" s="236"/>
      <c r="H83" s="143"/>
      <c r="I83" s="143"/>
      <c r="J83" s="1"/>
      <c r="K83" s="1"/>
    </row>
    <row r="84" spans="2:11" ht="16" thickBot="1" x14ac:dyDescent="0.4">
      <c r="B84" s="33" t="s">
        <v>29</v>
      </c>
      <c r="C84" s="33"/>
      <c r="D84" s="34" t="s">
        <v>30</v>
      </c>
      <c r="E84" s="33" t="s">
        <v>31</v>
      </c>
      <c r="F84" s="33" t="s">
        <v>32</v>
      </c>
      <c r="G84" s="1"/>
      <c r="H84" s="1"/>
      <c r="I84" s="1"/>
      <c r="J84" s="1"/>
      <c r="K84" s="1"/>
    </row>
    <row r="85" spans="2:11" x14ac:dyDescent="0.35">
      <c r="B85" s="31" t="s">
        <v>33</v>
      </c>
      <c r="C85" s="31"/>
      <c r="D85" s="6"/>
      <c r="E85" s="7"/>
      <c r="F85" s="7"/>
      <c r="G85" s="1"/>
      <c r="H85" s="1"/>
      <c r="I85" s="1"/>
      <c r="J85" s="1"/>
      <c r="K85" s="1"/>
    </row>
    <row r="86" spans="2:11" x14ac:dyDescent="0.35">
      <c r="B86" s="7" t="s">
        <v>34</v>
      </c>
      <c r="C86" s="7"/>
      <c r="D86" s="50">
        <f>F13*D90</f>
        <v>120000.00000000003</v>
      </c>
      <c r="E86" s="51">
        <f>I7</f>
        <v>7.0000000000000007E-2</v>
      </c>
      <c r="F86" s="11">
        <f>E86*D86</f>
        <v>8400.0000000000036</v>
      </c>
      <c r="G86" s="1"/>
      <c r="H86" s="1"/>
      <c r="I86" s="1"/>
      <c r="J86" s="1"/>
      <c r="K86" s="1"/>
    </row>
    <row r="87" spans="2:11" x14ac:dyDescent="0.35">
      <c r="B87" s="7" t="s">
        <v>35</v>
      </c>
      <c r="C87" s="7"/>
      <c r="D87" s="50">
        <f>F14*D90</f>
        <v>270000.00000000006</v>
      </c>
      <c r="E87" s="51">
        <f>I8</f>
        <v>0.05</v>
      </c>
      <c r="F87" s="11">
        <f>E87*D87</f>
        <v>13500.000000000004</v>
      </c>
      <c r="G87" s="1"/>
      <c r="H87" s="1"/>
      <c r="I87" s="1"/>
      <c r="J87" s="1"/>
      <c r="K87" s="1"/>
    </row>
    <row r="88" spans="2:11" x14ac:dyDescent="0.35">
      <c r="B88" s="7" t="s">
        <v>36</v>
      </c>
      <c r="C88" s="7"/>
      <c r="D88" s="50">
        <f>F15*D90</f>
        <v>210000.00000000003</v>
      </c>
      <c r="E88" s="52">
        <f>I9</f>
        <v>3.5000000000000003E-2</v>
      </c>
      <c r="F88" s="13">
        <f>E88*D88</f>
        <v>7350.0000000000018</v>
      </c>
      <c r="G88" s="1"/>
      <c r="H88" s="1"/>
      <c r="I88" s="1"/>
      <c r="J88" s="1"/>
      <c r="K88" s="1"/>
    </row>
    <row r="89" spans="2:11" x14ac:dyDescent="0.35">
      <c r="B89" s="261"/>
      <c r="C89" s="261"/>
      <c r="D89" s="261"/>
      <c r="E89" s="261"/>
      <c r="F89" s="261"/>
      <c r="G89" s="261"/>
      <c r="H89" s="1"/>
      <c r="I89" s="1"/>
      <c r="J89" s="1"/>
      <c r="K89" s="1"/>
    </row>
    <row r="90" spans="2:11" x14ac:dyDescent="0.35">
      <c r="B90" s="5" t="s">
        <v>79</v>
      </c>
      <c r="C90" s="5"/>
      <c r="D90" s="50">
        <f>D93*F11</f>
        <v>600000.00000000012</v>
      </c>
      <c r="E90" s="51"/>
      <c r="F90" s="53">
        <f>SUM(F86:F88)</f>
        <v>29250.000000000007</v>
      </c>
      <c r="G90" s="1"/>
      <c r="H90" s="1"/>
      <c r="I90" s="1"/>
      <c r="J90" s="1"/>
      <c r="K90" s="1"/>
    </row>
    <row r="91" spans="2:11" x14ac:dyDescent="0.35">
      <c r="B91" s="261"/>
      <c r="C91" s="261"/>
      <c r="D91" s="261"/>
      <c r="E91" s="261"/>
      <c r="F91" s="261"/>
      <c r="G91" s="261"/>
      <c r="H91" s="1"/>
      <c r="I91" s="1"/>
      <c r="J91" s="1"/>
      <c r="K91" s="1"/>
    </row>
    <row r="92" spans="2:11" x14ac:dyDescent="0.35">
      <c r="B92" s="31" t="s">
        <v>14</v>
      </c>
      <c r="C92" s="31"/>
      <c r="D92" s="31"/>
      <c r="E92" s="50"/>
      <c r="F92" s="51"/>
      <c r="G92" s="11"/>
      <c r="H92" s="1"/>
      <c r="I92" s="1"/>
      <c r="J92" s="1"/>
      <c r="K92" s="1"/>
    </row>
    <row r="93" spans="2:11" x14ac:dyDescent="0.35">
      <c r="B93" s="7" t="s">
        <v>82</v>
      </c>
      <c r="C93" s="7"/>
      <c r="D93" s="50">
        <f>F5</f>
        <v>1000000</v>
      </c>
      <c r="E93" s="52">
        <f>I5</f>
        <v>6.0000000000000001E-3</v>
      </c>
      <c r="F93" s="11">
        <f>E93*D93</f>
        <v>6000</v>
      </c>
      <c r="G93" s="1"/>
      <c r="H93" s="1"/>
      <c r="I93" s="1"/>
      <c r="J93" s="1"/>
      <c r="K93" s="1"/>
    </row>
    <row r="94" spans="2:11" x14ac:dyDescent="0.35">
      <c r="B94" s="7" t="s">
        <v>83</v>
      </c>
      <c r="C94" s="7"/>
      <c r="D94" s="50">
        <f>F18+F17</f>
        <v>752</v>
      </c>
      <c r="E94" s="11">
        <f>D41</f>
        <v>2</v>
      </c>
      <c r="F94" s="11">
        <f>E94*D94</f>
        <v>1504</v>
      </c>
      <c r="G94" s="1"/>
      <c r="H94" s="1"/>
      <c r="I94" s="1"/>
      <c r="J94" s="1"/>
      <c r="K94" s="1"/>
    </row>
    <row r="95" spans="2:11" x14ac:dyDescent="0.35">
      <c r="B95" s="7" t="s">
        <v>84</v>
      </c>
      <c r="C95" s="7"/>
      <c r="D95" s="50">
        <f>C42</f>
        <v>205</v>
      </c>
      <c r="E95" s="51">
        <f>D42</f>
        <v>3.5</v>
      </c>
      <c r="F95" s="11">
        <f>ROUND(E95*D95,0)</f>
        <v>718</v>
      </c>
      <c r="G95" s="1"/>
      <c r="H95" s="1"/>
      <c r="I95" s="1"/>
      <c r="J95" s="1"/>
      <c r="K95" s="1"/>
    </row>
    <row r="96" spans="2:11" x14ac:dyDescent="0.35">
      <c r="B96" s="7" t="s">
        <v>85</v>
      </c>
      <c r="C96" s="7"/>
      <c r="D96" s="50">
        <f>C43</f>
        <v>205</v>
      </c>
      <c r="E96" s="51">
        <f>D43</f>
        <v>3.5</v>
      </c>
      <c r="F96" s="11">
        <f>ROUND(E96*D96,0)</f>
        <v>718</v>
      </c>
      <c r="G96" s="1"/>
      <c r="H96" s="1"/>
      <c r="I96" s="1"/>
      <c r="J96" s="1"/>
      <c r="K96" s="1"/>
    </row>
    <row r="97" spans="2:11" x14ac:dyDescent="0.35">
      <c r="B97" s="7" t="s">
        <v>109</v>
      </c>
      <c r="C97" s="7"/>
      <c r="D97" s="50"/>
      <c r="E97" s="4"/>
      <c r="F97" s="11">
        <f>D45</f>
        <v>2800</v>
      </c>
      <c r="G97" s="1"/>
      <c r="H97" s="1"/>
      <c r="I97" s="1"/>
      <c r="J97" s="1"/>
      <c r="K97" s="1"/>
    </row>
    <row r="98" spans="2:11" x14ac:dyDescent="0.35">
      <c r="B98" s="7" t="s">
        <v>86</v>
      </c>
      <c r="C98" s="7"/>
      <c r="D98" s="50">
        <f>C46</f>
        <v>662</v>
      </c>
      <c r="E98" s="51">
        <f>D46</f>
        <v>1.25</v>
      </c>
      <c r="F98" s="11">
        <f>ROUND(E98*D98,0)</f>
        <v>828</v>
      </c>
      <c r="G98" s="1"/>
      <c r="H98" s="1"/>
      <c r="I98" s="1"/>
      <c r="J98" s="1"/>
      <c r="K98" s="1"/>
    </row>
    <row r="99" spans="2:11" x14ac:dyDescent="0.35">
      <c r="B99" s="7" t="s">
        <v>87</v>
      </c>
      <c r="C99" s="7"/>
      <c r="D99" s="50">
        <f>C44</f>
        <v>1</v>
      </c>
      <c r="E99" s="11">
        <f>D44</f>
        <v>100</v>
      </c>
      <c r="F99" s="11">
        <f>D99*E99</f>
        <v>100</v>
      </c>
      <c r="G99" s="1"/>
      <c r="H99" s="1"/>
      <c r="I99" s="1"/>
      <c r="J99" s="1"/>
      <c r="K99" s="1"/>
    </row>
    <row r="100" spans="2:11" x14ac:dyDescent="0.35">
      <c r="B100" s="7" t="s">
        <v>105</v>
      </c>
      <c r="C100" s="7"/>
      <c r="D100" s="50"/>
      <c r="E100" s="11"/>
      <c r="F100" s="11">
        <f>D47</f>
        <v>4400</v>
      </c>
      <c r="G100" s="1"/>
      <c r="H100" s="1"/>
      <c r="I100" s="1"/>
      <c r="J100" s="1"/>
      <c r="K100" s="1"/>
    </row>
    <row r="101" spans="2:11" x14ac:dyDescent="0.35">
      <c r="B101" s="7" t="s">
        <v>80</v>
      </c>
      <c r="C101" s="7"/>
      <c r="D101" s="50"/>
      <c r="E101" s="51"/>
      <c r="F101" s="13">
        <f>D48</f>
        <v>250</v>
      </c>
      <c r="G101" s="1"/>
      <c r="H101" s="1"/>
      <c r="I101" s="1"/>
      <c r="J101" s="1"/>
      <c r="K101" s="1"/>
    </row>
    <row r="102" spans="2:11" x14ac:dyDescent="0.35">
      <c r="B102" s="5" t="s">
        <v>37</v>
      </c>
      <c r="C102" s="5"/>
      <c r="D102" s="5"/>
      <c r="E102" s="50"/>
      <c r="F102" s="11">
        <f>SUM(F93:F101)</f>
        <v>17318</v>
      </c>
      <c r="G102" s="53"/>
      <c r="H102" s="1"/>
      <c r="I102" s="1"/>
      <c r="J102" s="1"/>
      <c r="K102" s="1"/>
    </row>
    <row r="103" spans="2:11" x14ac:dyDescent="0.35">
      <c r="B103" s="261"/>
      <c r="C103" s="261"/>
      <c r="D103" s="261"/>
      <c r="E103" s="261"/>
      <c r="F103" s="261"/>
      <c r="G103" s="261"/>
      <c r="H103" s="1"/>
      <c r="I103" s="1"/>
      <c r="J103" s="1"/>
      <c r="K103" s="1"/>
    </row>
    <row r="104" spans="2:11" x14ac:dyDescent="0.35">
      <c r="B104" s="31" t="s">
        <v>38</v>
      </c>
      <c r="C104" s="31"/>
      <c r="D104" s="31"/>
      <c r="E104" s="50"/>
      <c r="F104" s="51"/>
      <c r="G104" s="11"/>
      <c r="H104" s="1"/>
      <c r="I104" s="1"/>
      <c r="J104" s="1"/>
      <c r="K104" s="1"/>
    </row>
    <row r="105" spans="2:11" x14ac:dyDescent="0.35">
      <c r="B105" s="123" t="s">
        <v>19</v>
      </c>
      <c r="C105" s="7"/>
      <c r="D105" s="7"/>
      <c r="E105" s="6"/>
      <c r="F105" s="7"/>
      <c r="G105" s="7"/>
      <c r="H105" s="1"/>
      <c r="I105" s="1"/>
      <c r="J105" s="1"/>
      <c r="K105" s="1"/>
    </row>
    <row r="106" spans="2:11" x14ac:dyDescent="0.35">
      <c r="B106" s="7" t="s">
        <v>114</v>
      </c>
      <c r="C106" s="7"/>
      <c r="D106" s="50">
        <f t="shared" ref="D106:E110" si="4">C50</f>
        <v>1</v>
      </c>
      <c r="E106" s="11">
        <f t="shared" si="4"/>
        <v>750</v>
      </c>
      <c r="F106" s="11">
        <f>E106*D106</f>
        <v>750</v>
      </c>
      <c r="G106" s="1"/>
      <c r="H106" s="1"/>
      <c r="I106" s="1"/>
      <c r="J106" s="1"/>
      <c r="K106" s="1"/>
    </row>
    <row r="107" spans="2:11" x14ac:dyDescent="0.35">
      <c r="B107" s="7" t="s">
        <v>115</v>
      </c>
      <c r="C107" s="7"/>
      <c r="D107" s="50">
        <f t="shared" si="4"/>
        <v>1</v>
      </c>
      <c r="E107" s="11">
        <f t="shared" si="4"/>
        <v>250</v>
      </c>
      <c r="F107" s="11">
        <f>D107*E107</f>
        <v>250</v>
      </c>
      <c r="G107" s="1"/>
      <c r="H107" s="1"/>
      <c r="I107" s="1"/>
      <c r="J107" s="1"/>
      <c r="K107" s="1"/>
    </row>
    <row r="108" spans="2:11" x14ac:dyDescent="0.35">
      <c r="B108" s="7" t="s">
        <v>81</v>
      </c>
      <c r="C108" s="7"/>
      <c r="D108" s="50">
        <f t="shared" si="4"/>
        <v>1</v>
      </c>
      <c r="E108" s="11">
        <f t="shared" si="4"/>
        <v>500</v>
      </c>
      <c r="F108" s="11">
        <f>E108*D108</f>
        <v>500</v>
      </c>
      <c r="G108" s="1"/>
      <c r="H108" s="1"/>
      <c r="I108" s="1"/>
      <c r="J108" s="1"/>
      <c r="K108" s="1"/>
    </row>
    <row r="109" spans="2:11" x14ac:dyDescent="0.35">
      <c r="B109" s="7" t="s">
        <v>112</v>
      </c>
      <c r="C109" s="7"/>
      <c r="D109" s="50">
        <f t="shared" si="4"/>
        <v>1</v>
      </c>
      <c r="E109" s="11">
        <f t="shared" si="4"/>
        <v>27</v>
      </c>
      <c r="F109" s="11">
        <f>D109*E109</f>
        <v>27</v>
      </c>
      <c r="G109" s="1"/>
      <c r="H109" s="1"/>
      <c r="I109" s="1"/>
      <c r="J109" s="1"/>
      <c r="K109" s="1"/>
    </row>
    <row r="110" spans="2:11" x14ac:dyDescent="0.35">
      <c r="B110" s="7" t="s">
        <v>113</v>
      </c>
      <c r="C110" s="7"/>
      <c r="D110" s="50">
        <f t="shared" si="4"/>
        <v>1</v>
      </c>
      <c r="E110" s="11">
        <f t="shared" si="4"/>
        <v>100</v>
      </c>
      <c r="F110" s="11">
        <f>E110*D110</f>
        <v>100</v>
      </c>
      <c r="G110" s="1"/>
      <c r="H110" s="1"/>
      <c r="I110" s="1"/>
      <c r="J110" s="1"/>
      <c r="K110" s="1"/>
    </row>
    <row r="111" spans="2:11" x14ac:dyDescent="0.35">
      <c r="B111" s="261"/>
      <c r="C111" s="261"/>
      <c r="D111" s="261"/>
      <c r="E111" s="261"/>
      <c r="F111" s="261"/>
      <c r="G111" s="261"/>
      <c r="H111" s="1"/>
      <c r="I111" s="1"/>
      <c r="J111" s="1"/>
      <c r="K111" s="1"/>
    </row>
    <row r="112" spans="2:11" x14ac:dyDescent="0.35">
      <c r="B112" s="7" t="s">
        <v>39</v>
      </c>
      <c r="C112" s="7"/>
      <c r="D112" s="7"/>
      <c r="E112" s="6"/>
      <c r="F112" s="11">
        <f>ROUND(AVERAGE(G29:K29),0)</f>
        <v>918</v>
      </c>
      <c r="G112" s="1"/>
      <c r="H112" s="1"/>
      <c r="I112" s="1"/>
      <c r="J112" s="1"/>
      <c r="K112" s="1"/>
    </row>
    <row r="113" spans="2:11" x14ac:dyDescent="0.35">
      <c r="B113" s="7" t="s">
        <v>40</v>
      </c>
      <c r="C113" s="7"/>
      <c r="D113" s="7"/>
      <c r="E113" s="6"/>
      <c r="F113" s="13">
        <f>AVERAGE(E80:I80)</f>
        <v>915.46666666666681</v>
      </c>
      <c r="G113" s="1"/>
      <c r="H113" s="1"/>
      <c r="I113" s="1"/>
      <c r="J113" s="1"/>
      <c r="K113" s="1"/>
    </row>
    <row r="114" spans="2:11" x14ac:dyDescent="0.35">
      <c r="B114" s="5" t="s">
        <v>41</v>
      </c>
      <c r="C114" s="5"/>
      <c r="D114" s="5"/>
      <c r="E114" s="6"/>
      <c r="F114" s="53">
        <f>SUM(F106:F113)</f>
        <v>3460.4666666666667</v>
      </c>
      <c r="G114" s="1"/>
      <c r="H114" s="1"/>
      <c r="I114" s="1"/>
      <c r="J114" s="1"/>
      <c r="K114" s="1"/>
    </row>
    <row r="115" spans="2:11" x14ac:dyDescent="0.35">
      <c r="B115" s="5"/>
      <c r="C115" s="5"/>
      <c r="D115" s="5"/>
      <c r="E115" s="6"/>
      <c r="F115" s="53"/>
      <c r="G115" s="1"/>
      <c r="H115" s="1"/>
      <c r="I115" s="1"/>
      <c r="J115" s="1"/>
      <c r="K115" s="1"/>
    </row>
    <row r="116" spans="2:11" x14ac:dyDescent="0.35">
      <c r="B116" s="31" t="s">
        <v>90</v>
      </c>
      <c r="C116" s="31"/>
      <c r="D116" s="31"/>
      <c r="E116" s="6"/>
      <c r="F116" s="53">
        <f>F114+F102</f>
        <v>20778.466666666667</v>
      </c>
      <c r="G116" s="1"/>
      <c r="H116" s="1"/>
      <c r="I116" s="1"/>
      <c r="J116" s="1"/>
      <c r="K116" s="1"/>
    </row>
    <row r="117" spans="2:11" x14ac:dyDescent="0.35">
      <c r="B117" s="31"/>
      <c r="C117" s="31"/>
      <c r="D117" s="31"/>
      <c r="E117" s="6"/>
      <c r="F117" s="11"/>
      <c r="G117" s="1"/>
      <c r="H117" s="1"/>
      <c r="I117" s="1"/>
      <c r="J117" s="1"/>
      <c r="K117" s="1"/>
    </row>
    <row r="118" spans="2:11" x14ac:dyDescent="0.35">
      <c r="B118" s="31" t="s">
        <v>122</v>
      </c>
      <c r="C118" s="31"/>
      <c r="D118" s="31"/>
      <c r="E118" s="6"/>
      <c r="F118" s="11"/>
      <c r="G118" s="1"/>
      <c r="H118" s="1"/>
      <c r="I118" s="1"/>
      <c r="J118" s="1"/>
      <c r="K118" s="1"/>
    </row>
    <row r="119" spans="2:11" x14ac:dyDescent="0.35">
      <c r="B119" s="123" t="s">
        <v>123</v>
      </c>
      <c r="C119" s="31"/>
      <c r="D119" s="31"/>
      <c r="E119" s="6"/>
      <c r="F119" s="11"/>
      <c r="G119" s="1"/>
      <c r="H119" s="1"/>
      <c r="I119" s="1"/>
      <c r="J119" s="1"/>
      <c r="K119" s="1"/>
    </row>
    <row r="120" spans="2:11" x14ac:dyDescent="0.35">
      <c r="B120" s="5" t="s">
        <v>119</v>
      </c>
      <c r="C120" s="31"/>
      <c r="D120" s="31"/>
      <c r="E120" s="6"/>
      <c r="F120" s="11">
        <f>F90-(F116-F113)</f>
        <v>9387.0000000000073</v>
      </c>
      <c r="G120" s="1"/>
      <c r="H120" s="1"/>
      <c r="I120" s="1"/>
      <c r="J120" s="1"/>
      <c r="K120" s="1"/>
    </row>
    <row r="121" spans="2:11" x14ac:dyDescent="0.35">
      <c r="B121" s="5" t="s">
        <v>120</v>
      </c>
      <c r="C121" s="31"/>
      <c r="D121" s="31"/>
      <c r="E121" s="6"/>
      <c r="F121" s="157">
        <f>(F116-F113)/D90</f>
        <v>3.3104999999999996E-2</v>
      </c>
      <c r="G121" s="1"/>
      <c r="H121" s="1"/>
      <c r="I121" s="1"/>
      <c r="J121" s="1"/>
      <c r="K121" s="1"/>
    </row>
    <row r="122" spans="2:11" x14ac:dyDescent="0.35">
      <c r="B122" s="5" t="s">
        <v>121</v>
      </c>
      <c r="C122" s="31"/>
      <c r="D122" s="31"/>
      <c r="E122" s="6"/>
      <c r="F122" s="55">
        <f>((F116-F113)/(E86*(D86/D90)+E87*(D87/D90)+E88*(D88/D90)))/D93</f>
        <v>0.40744615384615379</v>
      </c>
      <c r="G122" s="1"/>
      <c r="H122" s="1"/>
      <c r="I122" s="1"/>
      <c r="J122" s="1"/>
      <c r="K122" s="1"/>
    </row>
    <row r="123" spans="2:11" x14ac:dyDescent="0.35">
      <c r="B123" s="5"/>
      <c r="C123" s="31"/>
      <c r="D123" s="31"/>
      <c r="E123" s="6"/>
      <c r="F123" s="55"/>
      <c r="G123" s="1"/>
      <c r="H123" s="1"/>
      <c r="I123" s="1"/>
      <c r="J123" s="1"/>
      <c r="K123" s="1"/>
    </row>
    <row r="124" spans="2:11" x14ac:dyDescent="0.35">
      <c r="B124" s="158" t="s">
        <v>90</v>
      </c>
      <c r="C124" s="156"/>
      <c r="D124" s="156"/>
      <c r="E124" s="156"/>
      <c r="F124" s="156"/>
      <c r="G124" s="156"/>
      <c r="H124" s="1"/>
      <c r="I124" s="1"/>
      <c r="J124" s="1"/>
      <c r="K124" s="1"/>
    </row>
    <row r="125" spans="2:11" x14ac:dyDescent="0.35">
      <c r="B125" s="5" t="s">
        <v>42</v>
      </c>
      <c r="C125" s="5"/>
      <c r="D125" s="5"/>
      <c r="E125" s="6"/>
      <c r="F125" s="11">
        <f>F90-F116</f>
        <v>8471.5333333333401</v>
      </c>
      <c r="G125" s="1"/>
      <c r="H125" s="1"/>
      <c r="I125" s="1"/>
      <c r="J125" s="1"/>
      <c r="K125" s="1"/>
    </row>
    <row r="126" spans="2:11" x14ac:dyDescent="0.35">
      <c r="B126" s="5" t="s">
        <v>43</v>
      </c>
      <c r="C126" s="5"/>
      <c r="D126" s="5"/>
      <c r="E126" s="6"/>
      <c r="F126" s="54">
        <f>F116/D90</f>
        <v>3.4630777777777774E-2</v>
      </c>
      <c r="G126" s="1"/>
      <c r="H126" s="1"/>
      <c r="I126" s="1"/>
      <c r="J126" s="1"/>
      <c r="K126" s="1"/>
    </row>
    <row r="127" spans="2:11" x14ac:dyDescent="0.35">
      <c r="B127" s="5" t="s">
        <v>44</v>
      </c>
      <c r="C127" s="5"/>
      <c r="D127" s="5"/>
      <c r="E127" s="6"/>
      <c r="F127" s="55">
        <f>(F116/(E86*(D86/D90)+E87*(D87/D90)+E88*(D88/D90)))/D93</f>
        <v>0.42622495726495724</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 allowBlank="1" showInputMessage="1" showErrorMessage="1" sqref="I7:I9 I5 F6:F7 F9:F11">
      <formula1>0</formula1>
    </dataValidation>
    <dataValidation type="whole" operator="greaterThan" allowBlank="1" showInputMessage="1" showErrorMessage="1" sqref="C22:C28 D24:D28 E24 F53:I54 E50:E54 F5 E40:E41 F47:I47 E43:E48 D75:D79 C73:C79">
      <formula1>0</formula1>
    </dataValidation>
    <dataValidation type="whole" allowBlank="1" showInputMessage="1" showErrorMessage="1" sqref="E25:E28">
      <formula1>0</formula1>
      <formula2>1</formula2>
    </dataValidation>
    <dataValidation type="decimal" operator="greaterThanOrEqual" allowBlank="1" showInputMessage="1" showErrorMessage="1" sqref="F13:F15">
      <formula1>0</formula1>
    </dataValidation>
  </dataValidations>
  <pageMargins left="0.75" right="0.75" top="1" bottom="1" header="0.5" footer="0.5"/>
  <pageSetup orientation="portrait" horizontalDpi="4294967292" verticalDpi="429496729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27"/>
  <sheetViews>
    <sheetView workbookViewId="0">
      <selection activeCell="J27" sqref="J27"/>
    </sheetView>
  </sheetViews>
  <sheetFormatPr defaultColWidth="11" defaultRowHeight="15.5" x14ac:dyDescent="0.35"/>
  <sheetData>
    <row r="3" spans="2:11" ht="16" thickBot="1" x14ac:dyDescent="0.4">
      <c r="B3" s="1"/>
      <c r="C3" s="1"/>
      <c r="D3" s="1"/>
      <c r="E3" s="66"/>
      <c r="F3" s="37"/>
      <c r="G3" s="7"/>
      <c r="H3" s="1"/>
      <c r="I3" s="1"/>
      <c r="J3" s="1"/>
      <c r="K3" s="1"/>
    </row>
    <row r="4" spans="2:11" x14ac:dyDescent="0.35">
      <c r="B4" s="1"/>
      <c r="C4" s="1"/>
      <c r="D4" s="18" t="s">
        <v>51</v>
      </c>
      <c r="E4" s="117"/>
      <c r="F4" s="19" t="s">
        <v>50</v>
      </c>
      <c r="G4" s="1"/>
      <c r="H4" s="18" t="s">
        <v>53</v>
      </c>
      <c r="I4" s="19" t="s">
        <v>54</v>
      </c>
      <c r="J4" s="1"/>
      <c r="K4" s="1"/>
    </row>
    <row r="5" spans="2:11" x14ac:dyDescent="0.35">
      <c r="B5" s="1"/>
      <c r="C5" s="1"/>
      <c r="D5" s="239" t="s">
        <v>73</v>
      </c>
      <c r="E5" s="240"/>
      <c r="F5" s="56">
        <f>Budget!E5</f>
        <v>1000000</v>
      </c>
      <c r="G5" s="1"/>
      <c r="H5" s="22" t="s">
        <v>46</v>
      </c>
      <c r="I5" s="62">
        <f>Budget!H5</f>
        <v>6.0000000000000001E-3</v>
      </c>
      <c r="J5" s="1"/>
      <c r="K5" s="1"/>
    </row>
    <row r="6" spans="2:11" x14ac:dyDescent="0.35">
      <c r="B6" s="1"/>
      <c r="C6" s="1"/>
      <c r="D6" s="247" t="s">
        <v>60</v>
      </c>
      <c r="E6" s="248"/>
      <c r="F6" s="57">
        <f>Budget!E6</f>
        <v>10000</v>
      </c>
      <c r="G6" s="1"/>
      <c r="H6" s="43" t="s">
        <v>47</v>
      </c>
      <c r="I6" s="21">
        <f>Budget!H6</f>
        <v>0</v>
      </c>
      <c r="J6" s="1"/>
      <c r="K6" s="1"/>
    </row>
    <row r="7" spans="2:11" x14ac:dyDescent="0.35">
      <c r="B7" s="1"/>
      <c r="C7" s="1"/>
      <c r="D7" s="239" t="s">
        <v>55</v>
      </c>
      <c r="E7" s="240"/>
      <c r="F7" s="82">
        <f>Budget!E7</f>
        <v>1150</v>
      </c>
      <c r="G7" s="1"/>
      <c r="H7" s="20" t="s">
        <v>67</v>
      </c>
      <c r="I7" s="45">
        <f>Budget!H7</f>
        <v>7.0000000000000007E-2</v>
      </c>
      <c r="J7" s="1"/>
      <c r="K7" s="1"/>
    </row>
    <row r="8" spans="2:11" x14ac:dyDescent="0.35">
      <c r="B8" s="1"/>
      <c r="C8" s="1"/>
      <c r="D8" s="239" t="s">
        <v>56</v>
      </c>
      <c r="E8" s="240"/>
      <c r="F8" s="59"/>
      <c r="G8" s="1"/>
      <c r="H8" s="20" t="s">
        <v>62</v>
      </c>
      <c r="I8" s="45">
        <f>Budget!H8</f>
        <v>0.05</v>
      </c>
      <c r="J8" s="1"/>
      <c r="K8" s="1"/>
    </row>
    <row r="9" spans="2:11" ht="16" thickBot="1" x14ac:dyDescent="0.4">
      <c r="B9" s="1"/>
      <c r="C9" s="1"/>
      <c r="D9" s="237" t="s">
        <v>57</v>
      </c>
      <c r="E9" s="238"/>
      <c r="F9" s="60">
        <f>Budget!E9</f>
        <v>0.75</v>
      </c>
      <c r="G9" s="1"/>
      <c r="H9" s="44" t="s">
        <v>63</v>
      </c>
      <c r="I9" s="46">
        <f>Budget!H9</f>
        <v>3.5000000000000003E-2</v>
      </c>
      <c r="J9" s="1"/>
      <c r="K9" s="1"/>
    </row>
    <row r="10" spans="2:11" x14ac:dyDescent="0.35">
      <c r="B10" s="1"/>
      <c r="C10" s="1"/>
      <c r="D10" s="237" t="s">
        <v>58</v>
      </c>
      <c r="E10" s="238"/>
      <c r="F10" s="60">
        <f>Budget!E10</f>
        <v>0.8</v>
      </c>
      <c r="G10" s="1"/>
      <c r="H10" s="17"/>
      <c r="I10" s="1"/>
      <c r="J10" s="1"/>
      <c r="K10" s="1"/>
    </row>
    <row r="11" spans="2:11" x14ac:dyDescent="0.35">
      <c r="B11" s="1"/>
      <c r="C11" s="1"/>
      <c r="D11" s="237" t="s">
        <v>59</v>
      </c>
      <c r="E11" s="238"/>
      <c r="F11" s="132">
        <f>F9*F10</f>
        <v>0.60000000000000009</v>
      </c>
      <c r="G11" s="1"/>
      <c r="H11" s="138"/>
      <c r="I11" s="139"/>
      <c r="J11" s="1"/>
      <c r="K11" s="1"/>
    </row>
    <row r="12" spans="2:11" x14ac:dyDescent="0.35">
      <c r="B12" s="1"/>
      <c r="C12" s="1"/>
      <c r="D12" s="239" t="s">
        <v>52</v>
      </c>
      <c r="E12" s="240"/>
      <c r="F12" s="241"/>
      <c r="G12" s="1"/>
      <c r="H12" s="1"/>
      <c r="I12" s="1"/>
      <c r="J12" s="1"/>
      <c r="K12" s="1"/>
    </row>
    <row r="13" spans="2:11" x14ac:dyDescent="0.35">
      <c r="B13" s="1"/>
      <c r="C13" s="1"/>
      <c r="D13" s="237" t="s">
        <v>61</v>
      </c>
      <c r="E13" s="238"/>
      <c r="F13" s="60">
        <f>'Cash Cost Sensitivities (2)'!A29</f>
        <v>0.3</v>
      </c>
      <c r="G13" s="1"/>
      <c r="H13" s="1"/>
      <c r="I13" s="1"/>
      <c r="J13" s="1"/>
      <c r="K13" s="1"/>
    </row>
    <row r="14" spans="2:11" x14ac:dyDescent="0.35">
      <c r="B14" s="1"/>
      <c r="C14" s="1"/>
      <c r="D14" s="237" t="s">
        <v>62</v>
      </c>
      <c r="E14" s="238"/>
      <c r="F14" s="60">
        <f>'Cash Cost Sensitivities (2)'!B29</f>
        <v>0.4</v>
      </c>
      <c r="G14" s="1"/>
      <c r="H14" s="1"/>
      <c r="I14" s="1"/>
      <c r="J14" s="1"/>
      <c r="K14" s="1"/>
    </row>
    <row r="15" spans="2:11" x14ac:dyDescent="0.35">
      <c r="B15" s="1"/>
      <c r="C15" s="1"/>
      <c r="D15" s="237" t="s">
        <v>63</v>
      </c>
      <c r="E15" s="238"/>
      <c r="F15" s="105">
        <f>'Cash Cost Sensitivities (2)'!C29</f>
        <v>0.3</v>
      </c>
      <c r="G15" s="1"/>
      <c r="H15" s="1"/>
      <c r="I15" s="1"/>
      <c r="J15" s="1"/>
      <c r="K15" s="1"/>
    </row>
    <row r="16" spans="2:11" x14ac:dyDescent="0.35">
      <c r="B16" s="7"/>
      <c r="C16" s="7"/>
      <c r="D16" s="242" t="s">
        <v>103</v>
      </c>
      <c r="E16" s="243"/>
      <c r="F16" s="103"/>
      <c r="G16" s="1"/>
      <c r="H16" s="1"/>
      <c r="I16" s="1"/>
      <c r="J16" s="1"/>
      <c r="K16" s="1"/>
    </row>
    <row r="17" spans="2:11" x14ac:dyDescent="0.35">
      <c r="B17" s="1"/>
      <c r="C17" s="1"/>
      <c r="D17" s="250" t="s">
        <v>57</v>
      </c>
      <c r="E17" s="251"/>
      <c r="F17" s="106">
        <f>ROUND(F5/F6,0)</f>
        <v>100</v>
      </c>
      <c r="G17" s="1"/>
      <c r="H17" s="1"/>
      <c r="I17" s="1"/>
      <c r="J17" s="1"/>
      <c r="K17" s="1"/>
    </row>
    <row r="18" spans="2:11" ht="16" thickBot="1" x14ac:dyDescent="0.4">
      <c r="B18" s="2"/>
      <c r="C18" s="2"/>
      <c r="D18" s="252" t="s">
        <v>102</v>
      </c>
      <c r="E18" s="253"/>
      <c r="F18" s="104">
        <f>ROUND(F5*F9/F7,0)</f>
        <v>652</v>
      </c>
      <c r="G18" s="1"/>
      <c r="H18" s="1"/>
      <c r="I18" s="1"/>
      <c r="J18" s="1"/>
      <c r="K18" s="1"/>
    </row>
    <row r="19" spans="2:11" x14ac:dyDescent="0.35">
      <c r="B19" s="2"/>
      <c r="C19" s="2"/>
      <c r="D19" s="2"/>
      <c r="E19" s="14"/>
      <c r="F19" s="2"/>
      <c r="G19" s="1"/>
      <c r="H19" s="1"/>
      <c r="I19" s="1"/>
      <c r="J19" s="1"/>
      <c r="K19" s="1"/>
    </row>
    <row r="20" spans="2:11" ht="18.5" x14ac:dyDescent="0.45">
      <c r="B20" s="236" t="s">
        <v>12</v>
      </c>
      <c r="C20" s="236"/>
      <c r="D20" s="236"/>
      <c r="E20" s="236"/>
      <c r="F20" s="236"/>
      <c r="G20" s="236"/>
      <c r="H20" s="236"/>
      <c r="I20" s="236"/>
      <c r="J20" s="236"/>
      <c r="K20" s="236"/>
    </row>
    <row r="21" spans="2:11" ht="16" thickBot="1" x14ac:dyDescent="0.4">
      <c r="B21" s="23" t="s">
        <v>0</v>
      </c>
      <c r="C21" s="34" t="s">
        <v>1</v>
      </c>
      <c r="D21" s="33" t="s">
        <v>2</v>
      </c>
      <c r="E21" s="33" t="s">
        <v>72</v>
      </c>
      <c r="F21" s="33" t="s">
        <v>117</v>
      </c>
      <c r="G21" s="33" t="s">
        <v>3</v>
      </c>
      <c r="H21" s="33" t="s">
        <v>4</v>
      </c>
      <c r="I21" s="33" t="s">
        <v>5</v>
      </c>
      <c r="J21" s="33" t="s">
        <v>6</v>
      </c>
      <c r="K21" s="33" t="s">
        <v>7</v>
      </c>
    </row>
    <row r="22" spans="2:11" x14ac:dyDescent="0.35">
      <c r="B22" s="25" t="s">
        <v>8</v>
      </c>
      <c r="C22" s="68">
        <f>Budget!B22</f>
        <v>7</v>
      </c>
      <c r="D22" s="140">
        <f>Budget!C22</f>
        <v>4</v>
      </c>
      <c r="E22" s="146">
        <f>Budget!D22</f>
        <v>25</v>
      </c>
      <c r="F22" s="149">
        <f>Budget!E22</f>
        <v>175</v>
      </c>
      <c r="G22" s="149">
        <f>Budget!F22</f>
        <v>175</v>
      </c>
      <c r="H22" s="149">
        <f>Budget!G22</f>
        <v>180</v>
      </c>
      <c r="I22" s="149">
        <f>Budget!H22</f>
        <v>186</v>
      </c>
      <c r="J22" s="149">
        <f>Budget!I22</f>
        <v>191</v>
      </c>
      <c r="K22" s="149">
        <f>Budget!J22</f>
        <v>197</v>
      </c>
    </row>
    <row r="23" spans="2:11" x14ac:dyDescent="0.35">
      <c r="B23" s="16" t="s">
        <v>9</v>
      </c>
      <c r="C23" s="67">
        <f>Budget!B23</f>
        <v>6.2</v>
      </c>
      <c r="D23" s="141">
        <f>Budget!C23</f>
        <v>10</v>
      </c>
      <c r="E23" s="181">
        <f>Budget!D23</f>
        <v>65</v>
      </c>
      <c r="F23" s="150">
        <f>Budget!E23</f>
        <v>404</v>
      </c>
      <c r="G23" s="150">
        <f>Budget!F23</f>
        <v>403</v>
      </c>
      <c r="H23" s="150">
        <f>Budget!G23</f>
        <v>415</v>
      </c>
      <c r="I23" s="150">
        <f>Budget!H23</f>
        <v>428</v>
      </c>
      <c r="J23" s="150">
        <f>Budget!I23</f>
        <v>440</v>
      </c>
      <c r="K23" s="150">
        <f>Budget!J23</f>
        <v>454</v>
      </c>
    </row>
    <row r="24" spans="2:11" x14ac:dyDescent="0.35">
      <c r="B24" s="16" t="s">
        <v>10</v>
      </c>
      <c r="C24" s="67">
        <f>Budget!B24</f>
        <v>250</v>
      </c>
      <c r="D24" s="141">
        <f>Budget!C24</f>
        <v>3</v>
      </c>
      <c r="E24" s="182">
        <f>Budget!D24</f>
        <v>1</v>
      </c>
      <c r="F24" s="151">
        <f>Budget!E24</f>
        <v>0</v>
      </c>
      <c r="G24" s="150">
        <f>Budget!F24</f>
        <v>250</v>
      </c>
      <c r="H24" s="150">
        <f>Budget!G24</f>
        <v>0</v>
      </c>
      <c r="I24" s="150">
        <f>Budget!H24</f>
        <v>0</v>
      </c>
      <c r="J24" s="150">
        <f>Budget!I24</f>
        <v>273</v>
      </c>
      <c r="K24" s="150">
        <f>Budget!J24</f>
        <v>0</v>
      </c>
    </row>
    <row r="25" spans="2:11" x14ac:dyDescent="0.35">
      <c r="B25" s="16" t="s">
        <v>11</v>
      </c>
      <c r="C25" s="67">
        <f>Budget!B25</f>
        <v>18000</v>
      </c>
      <c r="D25" s="141">
        <f>Budget!C25</f>
        <v>7</v>
      </c>
      <c r="E25" s="141">
        <f>Budget!D25</f>
        <v>0</v>
      </c>
      <c r="F25" s="152">
        <f>Budget!E25</f>
        <v>0</v>
      </c>
      <c r="G25" s="150">
        <f>Budget!F25</f>
        <v>0</v>
      </c>
      <c r="H25" s="150">
        <f>Budget!G25</f>
        <v>0</v>
      </c>
      <c r="I25" s="150">
        <f>Budget!H25</f>
        <v>0</v>
      </c>
      <c r="J25" s="150">
        <f>Budget!I25</f>
        <v>0</v>
      </c>
      <c r="K25" s="150">
        <f>Budget!J25</f>
        <v>0</v>
      </c>
    </row>
    <row r="26" spans="2:11" x14ac:dyDescent="0.35">
      <c r="B26" s="16" t="s">
        <v>69</v>
      </c>
      <c r="C26" s="67">
        <f>Budget!B26</f>
        <v>28000</v>
      </c>
      <c r="D26" s="141">
        <f>Budget!C26</f>
        <v>10</v>
      </c>
      <c r="E26" s="141">
        <f>Budget!D26</f>
        <v>0</v>
      </c>
      <c r="F26" s="152">
        <f>Budget!E26</f>
        <v>0</v>
      </c>
      <c r="G26" s="150">
        <f>Budget!F26</f>
        <v>0</v>
      </c>
      <c r="H26" s="150">
        <f>Budget!G26</f>
        <v>0</v>
      </c>
      <c r="I26" s="150">
        <f>Budget!H26</f>
        <v>0</v>
      </c>
      <c r="J26" s="150">
        <f>Budget!I26</f>
        <v>0</v>
      </c>
      <c r="K26" s="150">
        <f>Budget!J26</f>
        <v>0</v>
      </c>
    </row>
    <row r="27" spans="2:11" x14ac:dyDescent="0.35">
      <c r="B27" s="16" t="s">
        <v>70</v>
      </c>
      <c r="C27" s="67">
        <f>Budget!B27</f>
        <v>10000</v>
      </c>
      <c r="D27" s="141">
        <f>Budget!C27</f>
        <v>3</v>
      </c>
      <c r="E27" s="141">
        <f>Budget!D27</f>
        <v>0</v>
      </c>
      <c r="F27" s="152">
        <f>Budget!E27</f>
        <v>0</v>
      </c>
      <c r="G27" s="150">
        <f>Budget!F27</f>
        <v>0</v>
      </c>
      <c r="H27" s="150">
        <f>Budget!G27</f>
        <v>0</v>
      </c>
      <c r="I27" s="150">
        <f>Budget!H27</f>
        <v>0</v>
      </c>
      <c r="J27" s="150">
        <f>Budget!I27</f>
        <v>0</v>
      </c>
      <c r="K27" s="150">
        <f>Budget!J27</f>
        <v>0</v>
      </c>
    </row>
    <row r="28" spans="2:11" ht="44" thickBot="1" x14ac:dyDescent="0.4">
      <c r="B28" s="98" t="s">
        <v>71</v>
      </c>
      <c r="C28" s="69">
        <f>Budget!B28</f>
        <v>1000</v>
      </c>
      <c r="D28" s="142">
        <f>Budget!C28</f>
        <v>5</v>
      </c>
      <c r="E28" s="142">
        <f>Budget!D28</f>
        <v>1</v>
      </c>
      <c r="F28" s="153">
        <f>Budget!E28</f>
        <v>0</v>
      </c>
      <c r="G28" s="154">
        <f>Budget!F28</f>
        <v>1000</v>
      </c>
      <c r="H28" s="154">
        <f>Budget!G28</f>
        <v>0</v>
      </c>
      <c r="I28" s="154">
        <f>Budget!H28</f>
        <v>0</v>
      </c>
      <c r="J28" s="154">
        <f>Budget!I28</f>
        <v>0</v>
      </c>
      <c r="K28" s="154">
        <f>Budget!J28</f>
        <v>0</v>
      </c>
    </row>
    <row r="29" spans="2:11" x14ac:dyDescent="0.35">
      <c r="B29" s="5" t="s">
        <v>45</v>
      </c>
      <c r="C29" s="6"/>
      <c r="D29" s="7"/>
      <c r="E29" s="7"/>
      <c r="F29" s="15"/>
      <c r="G29" s="15">
        <f>SUM(G22:G28)</f>
        <v>1828</v>
      </c>
      <c r="H29" s="15">
        <f>SUM(H22:H28)</f>
        <v>595</v>
      </c>
      <c r="I29" s="15">
        <f>SUM(I22:I28)</f>
        <v>614</v>
      </c>
      <c r="J29" s="15">
        <f>SUM(J22:J28)</f>
        <v>904</v>
      </c>
      <c r="K29" s="15">
        <f>SUM(K22:K28)</f>
        <v>651</v>
      </c>
    </row>
    <row r="30" spans="2:11" x14ac:dyDescent="0.35">
      <c r="B30" s="1"/>
      <c r="C30" s="1"/>
      <c r="D30" s="1"/>
      <c r="E30" s="4"/>
      <c r="F30" s="1"/>
      <c r="G30" s="1"/>
      <c r="H30" s="1"/>
      <c r="I30" s="1"/>
      <c r="J30" s="1"/>
      <c r="K30" s="1"/>
    </row>
    <row r="31" spans="2:11" x14ac:dyDescent="0.35">
      <c r="B31" s="107"/>
      <c r="C31" s="107"/>
      <c r="D31" s="107"/>
      <c r="E31" s="4"/>
      <c r="F31" s="1"/>
      <c r="G31" s="1"/>
      <c r="H31" s="1"/>
      <c r="I31" s="1"/>
      <c r="J31" s="1"/>
      <c r="K31" s="1"/>
    </row>
    <row r="32" spans="2:11" x14ac:dyDescent="0.35">
      <c r="B32" s="107"/>
      <c r="C32" s="107"/>
      <c r="D32" s="107"/>
      <c r="E32" s="4"/>
      <c r="F32" s="1"/>
      <c r="G32" s="1"/>
      <c r="H32" s="1"/>
      <c r="I32" s="1"/>
      <c r="J32" s="1"/>
      <c r="K32" s="1"/>
    </row>
    <row r="33" spans="2:11" x14ac:dyDescent="0.35">
      <c r="B33" s="107"/>
      <c r="C33" s="107"/>
      <c r="D33" s="107"/>
      <c r="E33" s="4"/>
      <c r="F33" s="1"/>
      <c r="G33" s="1"/>
      <c r="H33" s="1"/>
      <c r="I33" s="1"/>
      <c r="J33" s="1"/>
      <c r="K33" s="1"/>
    </row>
    <row r="34" spans="2:11" x14ac:dyDescent="0.35">
      <c r="B34" s="107"/>
      <c r="C34" s="107"/>
      <c r="D34" s="107"/>
      <c r="E34" s="4"/>
      <c r="F34" s="1"/>
      <c r="G34" s="1"/>
      <c r="H34" s="1"/>
      <c r="I34" s="1"/>
      <c r="J34" s="1"/>
      <c r="K34" s="1"/>
    </row>
    <row r="35" spans="2:11" x14ac:dyDescent="0.35">
      <c r="B35" s="107"/>
      <c r="C35" s="107"/>
      <c r="D35" s="107"/>
      <c r="E35" s="4"/>
      <c r="F35" s="1"/>
      <c r="G35" s="1"/>
      <c r="H35" s="1"/>
      <c r="I35" s="1"/>
      <c r="J35" s="1"/>
      <c r="K35" s="1"/>
    </row>
    <row r="36" spans="2:11" x14ac:dyDescent="0.35">
      <c r="B36" s="107"/>
      <c r="C36" s="107"/>
      <c r="D36" s="107"/>
      <c r="E36" s="4"/>
      <c r="F36" s="1"/>
      <c r="G36" s="1"/>
      <c r="H36" s="1"/>
      <c r="I36" s="1"/>
      <c r="J36" s="1"/>
      <c r="K36" s="1"/>
    </row>
    <row r="37" spans="2:11" ht="18.5" x14ac:dyDescent="0.45">
      <c r="B37" s="236" t="s">
        <v>14</v>
      </c>
      <c r="C37" s="236"/>
      <c r="D37" s="236"/>
      <c r="E37" s="236"/>
      <c r="F37" s="236"/>
      <c r="G37" s="236"/>
      <c r="H37" s="236"/>
      <c r="I37" s="236"/>
      <c r="J37" s="1"/>
      <c r="K37" s="1"/>
    </row>
    <row r="38" spans="2:11" ht="44" thickBot="1" x14ac:dyDescent="0.4">
      <c r="B38" s="33" t="s">
        <v>13</v>
      </c>
      <c r="C38" s="23" t="s">
        <v>107</v>
      </c>
      <c r="D38" s="122" t="s">
        <v>110</v>
      </c>
      <c r="E38" s="34" t="s">
        <v>3</v>
      </c>
      <c r="F38" s="33" t="s">
        <v>4</v>
      </c>
      <c r="G38" s="33" t="s">
        <v>5</v>
      </c>
      <c r="H38" s="33" t="s">
        <v>6</v>
      </c>
      <c r="I38" s="33" t="s">
        <v>7</v>
      </c>
      <c r="J38" s="1"/>
      <c r="K38" s="1"/>
    </row>
    <row r="39" spans="2:11" x14ac:dyDescent="0.35">
      <c r="B39" s="41" t="s">
        <v>14</v>
      </c>
      <c r="C39" s="1"/>
      <c r="D39" s="1"/>
      <c r="E39" s="32"/>
      <c r="F39" s="9"/>
      <c r="G39" s="9"/>
      <c r="H39" s="9"/>
      <c r="I39" s="102"/>
      <c r="J39" s="1"/>
      <c r="K39" s="1"/>
    </row>
    <row r="40" spans="2:11" x14ac:dyDescent="0.35">
      <c r="B40" s="25" t="s">
        <v>15</v>
      </c>
      <c r="C40" s="115">
        <f>F5</f>
        <v>1000000</v>
      </c>
      <c r="D40" s="118">
        <f>I5</f>
        <v>6.0000000000000001E-3</v>
      </c>
      <c r="E40" s="119">
        <f>C40*D40</f>
        <v>6000</v>
      </c>
      <c r="F40" s="30">
        <v>6000</v>
      </c>
      <c r="G40" s="30">
        <v>6000</v>
      </c>
      <c r="H40" s="30">
        <v>6000</v>
      </c>
      <c r="I40" s="30">
        <v>6000</v>
      </c>
      <c r="J40" s="12"/>
      <c r="K40" s="12"/>
    </row>
    <row r="41" spans="2:11" x14ac:dyDescent="0.35">
      <c r="B41" s="16" t="s">
        <v>108</v>
      </c>
      <c r="C41" s="116">
        <f>F17+F18</f>
        <v>752</v>
      </c>
      <c r="D41" s="67">
        <f>Budget!C35</f>
        <v>2</v>
      </c>
      <c r="E41" s="125">
        <f>C41*D41</f>
        <v>1504</v>
      </c>
      <c r="F41" s="29">
        <f>ROUND(E41+E41*0.03,0)</f>
        <v>1549</v>
      </c>
      <c r="G41" s="29">
        <f>ROUND(F41+F41*0.03,0)</f>
        <v>1595</v>
      </c>
      <c r="H41" s="29">
        <f t="shared" ref="H41:I52" si="0">ROUND(G41+G41*0.03,0)</f>
        <v>1643</v>
      </c>
      <c r="I41" s="29">
        <f t="shared" si="0"/>
        <v>1692</v>
      </c>
      <c r="J41" s="1"/>
      <c r="K41" s="1"/>
    </row>
    <row r="42" spans="2:11" x14ac:dyDescent="0.35">
      <c r="B42" s="16" t="s">
        <v>16</v>
      </c>
      <c r="C42" s="131">
        <f>Budget!B36</f>
        <v>205</v>
      </c>
      <c r="D42" s="67">
        <f>Budget!C36</f>
        <v>3.5</v>
      </c>
      <c r="E42" s="125">
        <f>C42*D42</f>
        <v>717.5</v>
      </c>
      <c r="F42" s="29">
        <f t="shared" ref="F42:G48" si="1">ROUND(E42+E42*0.03,0)</f>
        <v>739</v>
      </c>
      <c r="G42" s="29">
        <f t="shared" si="1"/>
        <v>761</v>
      </c>
      <c r="H42" s="29">
        <f t="shared" si="0"/>
        <v>784</v>
      </c>
      <c r="I42" s="29">
        <f t="shared" si="0"/>
        <v>808</v>
      </c>
      <c r="J42" s="1"/>
      <c r="K42" s="1"/>
    </row>
    <row r="43" spans="2:11" x14ac:dyDescent="0.35">
      <c r="B43" s="16" t="s">
        <v>17</v>
      </c>
      <c r="C43" s="131">
        <f>Budget!B37</f>
        <v>205</v>
      </c>
      <c r="D43" s="67">
        <f>Budget!C37</f>
        <v>3.5</v>
      </c>
      <c r="E43" s="125">
        <f>C43*D43</f>
        <v>717.5</v>
      </c>
      <c r="F43" s="29">
        <f t="shared" si="1"/>
        <v>739</v>
      </c>
      <c r="G43" s="29">
        <f t="shared" si="1"/>
        <v>761</v>
      </c>
      <c r="H43" s="29">
        <f t="shared" si="0"/>
        <v>784</v>
      </c>
      <c r="I43" s="29">
        <f t="shared" si="0"/>
        <v>808</v>
      </c>
      <c r="J43" s="1"/>
      <c r="K43" s="1"/>
    </row>
    <row r="44" spans="2:11" x14ac:dyDescent="0.35">
      <c r="B44" s="16" t="s">
        <v>18</v>
      </c>
      <c r="C44" s="164">
        <f>Budget!B38</f>
        <v>1</v>
      </c>
      <c r="D44" s="67">
        <f>Budget!C38</f>
        <v>100</v>
      </c>
      <c r="E44" s="125">
        <f>C44*D44</f>
        <v>100</v>
      </c>
      <c r="F44" s="29">
        <f t="shared" si="1"/>
        <v>103</v>
      </c>
      <c r="G44" s="29">
        <f t="shared" si="1"/>
        <v>106</v>
      </c>
      <c r="H44" s="29">
        <f t="shared" si="0"/>
        <v>109</v>
      </c>
      <c r="I44" s="29">
        <f t="shared" si="0"/>
        <v>112</v>
      </c>
      <c r="J44" s="1"/>
      <c r="K44" s="1"/>
    </row>
    <row r="45" spans="2:11" x14ac:dyDescent="0.35">
      <c r="B45" s="16" t="s">
        <v>77</v>
      </c>
      <c r="C45" s="121"/>
      <c r="D45" s="67">
        <f>Budget!C39</f>
        <v>2800</v>
      </c>
      <c r="E45" s="125">
        <f>D45</f>
        <v>2800</v>
      </c>
      <c r="F45" s="29">
        <f t="shared" si="1"/>
        <v>2884</v>
      </c>
      <c r="G45" s="29">
        <f t="shared" si="1"/>
        <v>2971</v>
      </c>
      <c r="H45" s="29">
        <f t="shared" si="0"/>
        <v>3060</v>
      </c>
      <c r="I45" s="29">
        <f t="shared" si="0"/>
        <v>3152</v>
      </c>
      <c r="J45" s="1"/>
      <c r="K45" s="1"/>
    </row>
    <row r="46" spans="2:11" x14ac:dyDescent="0.35">
      <c r="B46" s="16" t="s">
        <v>78</v>
      </c>
      <c r="C46" s="120">
        <f>ROUND(0.75*F17+0.9*F18,0)</f>
        <v>662</v>
      </c>
      <c r="D46" s="67">
        <f>Budget!C40</f>
        <v>1.25</v>
      </c>
      <c r="E46" s="125">
        <f>C46*D46</f>
        <v>827.5</v>
      </c>
      <c r="F46" s="29">
        <f t="shared" si="1"/>
        <v>852</v>
      </c>
      <c r="G46" s="29">
        <f t="shared" si="1"/>
        <v>878</v>
      </c>
      <c r="H46" s="29">
        <f t="shared" si="0"/>
        <v>904</v>
      </c>
      <c r="I46" s="29">
        <f t="shared" si="0"/>
        <v>931</v>
      </c>
      <c r="J46" s="1"/>
      <c r="K46" s="1"/>
    </row>
    <row r="47" spans="2:11" x14ac:dyDescent="0.35">
      <c r="B47" s="16" t="s">
        <v>111</v>
      </c>
      <c r="C47" s="120"/>
      <c r="D47" s="67">
        <f>Budget!C41</f>
        <v>4400</v>
      </c>
      <c r="E47" s="125">
        <f>D47</f>
        <v>4400</v>
      </c>
      <c r="F47" s="119">
        <f t="shared" si="1"/>
        <v>4532</v>
      </c>
      <c r="G47" s="119">
        <f t="shared" si="1"/>
        <v>4668</v>
      </c>
      <c r="H47" s="119">
        <f t="shared" si="0"/>
        <v>4808</v>
      </c>
      <c r="I47" s="119">
        <f t="shared" si="0"/>
        <v>4952</v>
      </c>
      <c r="J47" s="1"/>
      <c r="K47" s="1"/>
    </row>
    <row r="48" spans="2:11" x14ac:dyDescent="0.35">
      <c r="B48" s="16" t="s">
        <v>66</v>
      </c>
      <c r="C48" s="120"/>
      <c r="D48" s="67">
        <f>Budget!C42</f>
        <v>250</v>
      </c>
      <c r="E48" s="125">
        <f>D48</f>
        <v>250</v>
      </c>
      <c r="F48" s="29">
        <f t="shared" si="1"/>
        <v>258</v>
      </c>
      <c r="G48" s="29">
        <f t="shared" si="1"/>
        <v>266</v>
      </c>
      <c r="H48" s="29">
        <f t="shared" si="0"/>
        <v>274</v>
      </c>
      <c r="I48" s="29">
        <f t="shared" si="0"/>
        <v>282</v>
      </c>
      <c r="J48" s="1"/>
      <c r="K48" s="1"/>
    </row>
    <row r="49" spans="2:11" x14ac:dyDescent="0.35">
      <c r="B49" s="42" t="s">
        <v>68</v>
      </c>
      <c r="C49" s="114"/>
      <c r="D49" s="114"/>
      <c r="E49" s="126"/>
      <c r="F49" s="35"/>
      <c r="G49" s="35"/>
      <c r="H49" s="35"/>
      <c r="I49" s="36"/>
      <c r="J49" s="12"/>
      <c r="K49" s="12"/>
    </row>
    <row r="50" spans="2:11" x14ac:dyDescent="0.35">
      <c r="B50" s="16" t="s">
        <v>48</v>
      </c>
      <c r="C50" s="47">
        <f>Budget!B44</f>
        <v>1</v>
      </c>
      <c r="D50" s="47">
        <f>Budget!C44</f>
        <v>750</v>
      </c>
      <c r="E50" s="127">
        <v>750</v>
      </c>
      <c r="F50" s="29">
        <f>ROUND(E50+E50*0.03,0)</f>
        <v>773</v>
      </c>
      <c r="G50" s="29">
        <f>ROUND(F50+F50*0.03,0)</f>
        <v>796</v>
      </c>
      <c r="H50" s="29">
        <f t="shared" si="0"/>
        <v>820</v>
      </c>
      <c r="I50" s="29">
        <f t="shared" si="0"/>
        <v>845</v>
      </c>
      <c r="J50" s="1"/>
      <c r="K50" s="1"/>
    </row>
    <row r="51" spans="2:11" x14ac:dyDescent="0.35">
      <c r="B51" s="16" t="s">
        <v>49</v>
      </c>
      <c r="C51" s="47">
        <f>Budget!B45</f>
        <v>1</v>
      </c>
      <c r="D51" s="47">
        <f>Budget!C45</f>
        <v>250</v>
      </c>
      <c r="E51" s="127">
        <v>250</v>
      </c>
      <c r="F51" s="29">
        <v>250</v>
      </c>
      <c r="G51" s="29">
        <v>250</v>
      </c>
      <c r="H51" s="29">
        <v>250</v>
      </c>
      <c r="I51" s="29">
        <v>250</v>
      </c>
      <c r="J51" s="1"/>
      <c r="K51" s="1"/>
    </row>
    <row r="52" spans="2:11" x14ac:dyDescent="0.35">
      <c r="B52" s="16" t="s">
        <v>20</v>
      </c>
      <c r="C52" s="47">
        <f>Budget!B46</f>
        <v>1</v>
      </c>
      <c r="D52" s="47">
        <f>Budget!C46</f>
        <v>500</v>
      </c>
      <c r="E52" s="127">
        <v>500</v>
      </c>
      <c r="F52" s="29">
        <f>ROUND(E52+E52*0.03,0)</f>
        <v>515</v>
      </c>
      <c r="G52" s="29">
        <f>ROUND(F52+F52*0.03,0)</f>
        <v>530</v>
      </c>
      <c r="H52" s="29">
        <f t="shared" si="0"/>
        <v>546</v>
      </c>
      <c r="I52" s="29">
        <f t="shared" si="0"/>
        <v>562</v>
      </c>
      <c r="J52" s="1"/>
      <c r="K52" s="1"/>
    </row>
    <row r="53" spans="2:11" x14ac:dyDescent="0.35">
      <c r="B53" s="108" t="s">
        <v>104</v>
      </c>
      <c r="C53" s="130">
        <f>Budget!B47</f>
        <v>1</v>
      </c>
      <c r="D53" s="130">
        <f>Budget!C47</f>
        <v>27</v>
      </c>
      <c r="E53" s="128">
        <v>27</v>
      </c>
      <c r="F53" s="109">
        <v>27</v>
      </c>
      <c r="G53" s="109">
        <v>27</v>
      </c>
      <c r="H53" s="109">
        <v>27</v>
      </c>
      <c r="I53" s="109">
        <v>27</v>
      </c>
      <c r="J53" s="1"/>
      <c r="K53" s="1"/>
    </row>
    <row r="54" spans="2:11" ht="16" thickBot="1" x14ac:dyDescent="0.4">
      <c r="B54" s="27" t="s">
        <v>21</v>
      </c>
      <c r="C54" s="48">
        <f>Budget!B48</f>
        <v>1</v>
      </c>
      <c r="D54" s="48">
        <f>Budget!C48</f>
        <v>100</v>
      </c>
      <c r="E54" s="129">
        <v>100</v>
      </c>
      <c r="F54" s="110">
        <v>100</v>
      </c>
      <c r="G54" s="110">
        <v>100</v>
      </c>
      <c r="H54" s="110">
        <v>100</v>
      </c>
      <c r="I54" s="110">
        <v>100</v>
      </c>
      <c r="J54" s="1"/>
      <c r="K54" s="1"/>
    </row>
    <row r="55" spans="2:11" x14ac:dyDescent="0.35">
      <c r="B55" s="3" t="s">
        <v>22</v>
      </c>
      <c r="C55" s="3"/>
      <c r="D55" s="3"/>
      <c r="E55" s="10">
        <f>SUM(E40:E54)</f>
        <v>18943.5</v>
      </c>
      <c r="F55" s="10">
        <f>SUM(F40:F54)</f>
        <v>19321</v>
      </c>
      <c r="G55" s="10">
        <f>SUM(G40:G54)</f>
        <v>19709</v>
      </c>
      <c r="H55" s="10">
        <f>SUM(H40:H54)</f>
        <v>20109</v>
      </c>
      <c r="I55" s="10">
        <f>SUM(I40:I54)</f>
        <v>20521</v>
      </c>
      <c r="J55" s="1"/>
      <c r="K55" s="1"/>
    </row>
    <row r="56" spans="2:11" x14ac:dyDescent="0.35">
      <c r="B56" s="3"/>
      <c r="C56" s="3"/>
      <c r="D56" s="3"/>
      <c r="E56" s="10"/>
      <c r="F56" s="10"/>
      <c r="G56" s="10"/>
      <c r="H56" s="10"/>
      <c r="I56" s="10"/>
      <c r="J56" s="1"/>
      <c r="K56" s="1"/>
    </row>
    <row r="57" spans="2:11" x14ac:dyDescent="0.35">
      <c r="B57" s="3"/>
      <c r="C57" s="3"/>
      <c r="D57" s="3"/>
      <c r="E57" s="10"/>
      <c r="F57" s="10"/>
      <c r="G57" s="10"/>
      <c r="H57" s="10"/>
      <c r="I57" s="10"/>
      <c r="J57" s="1"/>
      <c r="K57" s="1"/>
    </row>
    <row r="58" spans="2:11" x14ac:dyDescent="0.35">
      <c r="B58" s="1"/>
      <c r="C58" s="1"/>
      <c r="D58" s="1"/>
      <c r="E58" s="8"/>
      <c r="F58" s="8"/>
      <c r="G58" s="8"/>
      <c r="H58" s="8"/>
      <c r="I58" s="8"/>
      <c r="J58" s="1"/>
      <c r="K58" s="1"/>
    </row>
    <row r="59" spans="2:11" ht="18.5" x14ac:dyDescent="0.45">
      <c r="B59" s="236" t="s">
        <v>76</v>
      </c>
      <c r="C59" s="236"/>
      <c r="D59" s="236"/>
      <c r="E59" s="236"/>
      <c r="F59" s="236"/>
      <c r="G59" s="236"/>
      <c r="H59" s="236"/>
      <c r="I59" s="236"/>
      <c r="J59" s="1"/>
      <c r="K59" s="1"/>
    </row>
    <row r="60" spans="2:11" ht="16" thickBot="1" x14ac:dyDescent="0.4">
      <c r="B60" s="37"/>
      <c r="C60" s="34" t="s">
        <v>3</v>
      </c>
      <c r="D60" s="33" t="s">
        <v>4</v>
      </c>
      <c r="E60" s="33" t="s">
        <v>5</v>
      </c>
      <c r="F60" s="33" t="s">
        <v>6</v>
      </c>
      <c r="G60" s="33" t="s">
        <v>7</v>
      </c>
      <c r="H60" s="1"/>
      <c r="I60" s="1"/>
      <c r="J60" s="1"/>
      <c r="K60" s="1"/>
    </row>
    <row r="61" spans="2:11" x14ac:dyDescent="0.35">
      <c r="B61" s="25" t="s">
        <v>23</v>
      </c>
      <c r="C61" s="155">
        <f>Budget!$B$56</f>
        <v>0</v>
      </c>
      <c r="D61" s="39">
        <f>C68</f>
        <v>10128.500000000007</v>
      </c>
      <c r="E61" s="39">
        <f>D68</f>
        <v>21112.500000000015</v>
      </c>
      <c r="F61" s="39">
        <f>E68</f>
        <v>31689.500000000022</v>
      </c>
      <c r="G61" s="39">
        <f>F68</f>
        <v>41576.500000000029</v>
      </c>
      <c r="H61" s="1"/>
      <c r="I61" s="1"/>
      <c r="J61" s="1"/>
      <c r="K61" s="1"/>
    </row>
    <row r="62" spans="2:11" x14ac:dyDescent="0.35">
      <c r="B62" s="16" t="s">
        <v>24</v>
      </c>
      <c r="C62" s="38">
        <f>F90</f>
        <v>30900.000000000007</v>
      </c>
      <c r="D62" s="38">
        <f>F90</f>
        <v>30900.000000000007</v>
      </c>
      <c r="E62" s="38">
        <f>F90</f>
        <v>30900.000000000007</v>
      </c>
      <c r="F62" s="38">
        <f>F90</f>
        <v>30900.000000000007</v>
      </c>
      <c r="G62" s="38">
        <f>F90</f>
        <v>30900.000000000007</v>
      </c>
      <c r="H62" s="1"/>
      <c r="I62" s="1"/>
      <c r="J62" s="1"/>
      <c r="K62" s="1"/>
    </row>
    <row r="63" spans="2:11" x14ac:dyDescent="0.35">
      <c r="B63" s="16" t="s">
        <v>25</v>
      </c>
      <c r="C63" s="38"/>
      <c r="D63" s="38"/>
      <c r="E63" s="38"/>
      <c r="F63" s="38"/>
      <c r="G63" s="38"/>
      <c r="H63" s="1"/>
      <c r="I63" s="1"/>
      <c r="J63" s="1"/>
      <c r="K63" s="1"/>
    </row>
    <row r="64" spans="2:11" x14ac:dyDescent="0.35">
      <c r="B64" s="16" t="s">
        <v>64</v>
      </c>
      <c r="C64" s="38">
        <f>E55</f>
        <v>18943.5</v>
      </c>
      <c r="D64" s="38">
        <f>F55</f>
        <v>19321</v>
      </c>
      <c r="E64" s="38">
        <f>G55</f>
        <v>19709</v>
      </c>
      <c r="F64" s="38">
        <f>H55</f>
        <v>20109</v>
      </c>
      <c r="G64" s="38">
        <f>I55</f>
        <v>20521</v>
      </c>
      <c r="H64" s="1"/>
      <c r="I64" s="1"/>
      <c r="J64" s="1"/>
      <c r="K64" s="1"/>
    </row>
    <row r="65" spans="2:11" x14ac:dyDescent="0.35">
      <c r="B65" s="16" t="s">
        <v>65</v>
      </c>
      <c r="C65" s="38">
        <f>G29</f>
        <v>1828</v>
      </c>
      <c r="D65" s="38">
        <f>H29</f>
        <v>595</v>
      </c>
      <c r="E65" s="38">
        <f>I29</f>
        <v>614</v>
      </c>
      <c r="F65" s="38">
        <f>J29</f>
        <v>904</v>
      </c>
      <c r="G65" s="38">
        <f>K29</f>
        <v>651</v>
      </c>
      <c r="H65" s="1"/>
      <c r="I65" s="1"/>
      <c r="J65" s="1"/>
      <c r="K65" s="1"/>
    </row>
    <row r="66" spans="2:11" x14ac:dyDescent="0.35">
      <c r="B66" s="16" t="s">
        <v>28</v>
      </c>
      <c r="C66" s="38">
        <f>C64+C65</f>
        <v>20771.5</v>
      </c>
      <c r="D66" s="38">
        <f>D64+D65</f>
        <v>19916</v>
      </c>
      <c r="E66" s="38">
        <f>E64+E65</f>
        <v>20323</v>
      </c>
      <c r="F66" s="38">
        <f>F64+F65</f>
        <v>21013</v>
      </c>
      <c r="G66" s="38">
        <f>G64+G65</f>
        <v>21172</v>
      </c>
      <c r="H66" s="1"/>
      <c r="I66" s="1"/>
      <c r="J66" s="1"/>
      <c r="K66" s="1"/>
    </row>
    <row r="67" spans="2:11" x14ac:dyDescent="0.35">
      <c r="B67" s="16" t="s">
        <v>26</v>
      </c>
      <c r="C67" s="38">
        <f>C62-C66</f>
        <v>10128.500000000007</v>
      </c>
      <c r="D67" s="38">
        <f>D62-D66</f>
        <v>10984.000000000007</v>
      </c>
      <c r="E67" s="38">
        <f>E62-E66</f>
        <v>10577.000000000007</v>
      </c>
      <c r="F67" s="38">
        <f>F62-F66</f>
        <v>9887.0000000000073</v>
      </c>
      <c r="G67" s="38">
        <f>G62-G66</f>
        <v>9728.0000000000073</v>
      </c>
      <c r="H67" s="1"/>
      <c r="I67" s="1"/>
      <c r="J67" s="1"/>
      <c r="K67" s="1"/>
    </row>
    <row r="68" spans="2:11" x14ac:dyDescent="0.35">
      <c r="B68" s="16" t="s">
        <v>27</v>
      </c>
      <c r="C68" s="38">
        <f>C61+C67</f>
        <v>10128.500000000007</v>
      </c>
      <c r="D68" s="38">
        <f>D61+D67</f>
        <v>21112.500000000015</v>
      </c>
      <c r="E68" s="38">
        <f>E61+E67</f>
        <v>31689.500000000022</v>
      </c>
      <c r="F68" s="38">
        <f>F61+F67</f>
        <v>41576.500000000029</v>
      </c>
      <c r="G68" s="38">
        <f>G61+G67</f>
        <v>51304.500000000036</v>
      </c>
      <c r="H68" s="1"/>
      <c r="I68" s="1"/>
      <c r="J68" s="1"/>
      <c r="K68" s="1"/>
    </row>
    <row r="69" spans="2:11" x14ac:dyDescent="0.35">
      <c r="B69" s="7"/>
      <c r="C69" s="7"/>
      <c r="D69" s="7"/>
      <c r="E69" s="40"/>
      <c r="F69" s="40"/>
      <c r="G69" s="40"/>
      <c r="H69" s="40"/>
      <c r="I69" s="40"/>
      <c r="J69" s="1"/>
      <c r="K69" s="1"/>
    </row>
    <row r="70" spans="2:11" ht="21.5" x14ac:dyDescent="0.75">
      <c r="B70" s="107"/>
      <c r="C70" s="107"/>
      <c r="D70" s="107"/>
      <c r="E70" s="244" t="s">
        <v>118</v>
      </c>
      <c r="F70" s="244"/>
      <c r="G70" s="1"/>
      <c r="H70" s="1"/>
      <c r="I70" s="1"/>
      <c r="J70" s="1"/>
      <c r="K70" s="1"/>
    </row>
    <row r="71" spans="2:11" x14ac:dyDescent="0.35">
      <c r="B71" s="107"/>
      <c r="C71" s="107"/>
      <c r="D71" s="107"/>
      <c r="E71" s="145"/>
      <c r="F71" s="145"/>
      <c r="G71" s="1"/>
      <c r="H71" s="1"/>
      <c r="I71" s="1"/>
      <c r="J71" s="1"/>
      <c r="K71" s="1"/>
    </row>
    <row r="72" spans="2:11" ht="16" thickBot="1" x14ac:dyDescent="0.4">
      <c r="B72" s="23" t="s">
        <v>0</v>
      </c>
      <c r="C72" s="34" t="s">
        <v>1</v>
      </c>
      <c r="D72" s="33" t="s">
        <v>2</v>
      </c>
      <c r="E72" s="33" t="s">
        <v>3</v>
      </c>
      <c r="F72" s="33" t="s">
        <v>4</v>
      </c>
      <c r="G72" s="33" t="s">
        <v>5</v>
      </c>
      <c r="H72" s="33" t="s">
        <v>6</v>
      </c>
      <c r="I72" s="33" t="s">
        <v>7</v>
      </c>
      <c r="J72" s="1"/>
      <c r="K72" s="1"/>
    </row>
    <row r="73" spans="2:11" x14ac:dyDescent="0.35">
      <c r="B73" s="25" t="s">
        <v>8</v>
      </c>
      <c r="C73" s="144">
        <f t="shared" ref="C73:C79" si="2">C22</f>
        <v>7</v>
      </c>
      <c r="D73" s="140">
        <v>4</v>
      </c>
      <c r="E73" s="26">
        <f>ROUND(F17*C73/D73,0)</f>
        <v>175</v>
      </c>
      <c r="F73" s="26">
        <f>ROUND((E73+E73*0.03),0)</f>
        <v>180</v>
      </c>
      <c r="G73" s="26">
        <f t="shared" ref="G73:I75" si="3">ROUND(F73+F73*0.03,0)</f>
        <v>185</v>
      </c>
      <c r="H73" s="26">
        <f t="shared" si="3"/>
        <v>191</v>
      </c>
      <c r="I73" s="26">
        <f t="shared" si="3"/>
        <v>197</v>
      </c>
      <c r="J73" s="1"/>
      <c r="K73" s="1"/>
    </row>
    <row r="74" spans="2:11" x14ac:dyDescent="0.35">
      <c r="B74" s="16" t="s">
        <v>9</v>
      </c>
      <c r="C74" s="144">
        <f t="shared" si="2"/>
        <v>6.2</v>
      </c>
      <c r="D74" s="141">
        <v>10</v>
      </c>
      <c r="E74" s="26">
        <f>ROUND(F18*C74/D74,0)</f>
        <v>404</v>
      </c>
      <c r="F74" s="26">
        <f>ROUND((E74+E74*0.03),0)</f>
        <v>416</v>
      </c>
      <c r="G74" s="26">
        <f t="shared" si="3"/>
        <v>428</v>
      </c>
      <c r="H74" s="26">
        <f t="shared" si="3"/>
        <v>441</v>
      </c>
      <c r="I74" s="26">
        <f t="shared" si="3"/>
        <v>454</v>
      </c>
      <c r="J74" s="1"/>
      <c r="K74" s="1"/>
    </row>
    <row r="75" spans="2:11" x14ac:dyDescent="0.35">
      <c r="B75" s="16" t="s">
        <v>10</v>
      </c>
      <c r="C75" s="144">
        <f t="shared" si="2"/>
        <v>250</v>
      </c>
      <c r="D75" s="141">
        <v>3</v>
      </c>
      <c r="E75" s="24">
        <f>C75/D75</f>
        <v>83.333333333333329</v>
      </c>
      <c r="F75" s="24">
        <f>ROUND(E75+E75*0.03,0)</f>
        <v>86</v>
      </c>
      <c r="G75" s="24">
        <f t="shared" si="3"/>
        <v>89</v>
      </c>
      <c r="H75" s="24">
        <f t="shared" si="3"/>
        <v>92</v>
      </c>
      <c r="I75" s="24">
        <f t="shared" si="3"/>
        <v>95</v>
      </c>
      <c r="J75" s="1"/>
      <c r="K75" s="1"/>
    </row>
    <row r="76" spans="2:11" x14ac:dyDescent="0.35">
      <c r="B76" s="16" t="s">
        <v>11</v>
      </c>
      <c r="C76" s="144">
        <f t="shared" si="2"/>
        <v>18000</v>
      </c>
      <c r="D76" s="141">
        <v>7</v>
      </c>
      <c r="E76" s="24">
        <f>Budget!D72</f>
        <v>0</v>
      </c>
      <c r="F76" s="24">
        <f>Budget!E72</f>
        <v>0</v>
      </c>
      <c r="G76" s="24">
        <f>Budget!F72</f>
        <v>0</v>
      </c>
      <c r="H76" s="24">
        <f>Budget!G72</f>
        <v>0</v>
      </c>
      <c r="I76" s="24">
        <f>Budget!H72</f>
        <v>0</v>
      </c>
      <c r="J76" s="1"/>
      <c r="K76" s="1"/>
    </row>
    <row r="77" spans="2:11" x14ac:dyDescent="0.35">
      <c r="B77" s="16" t="s">
        <v>69</v>
      </c>
      <c r="C77" s="144">
        <f t="shared" si="2"/>
        <v>28000</v>
      </c>
      <c r="D77" s="141">
        <v>10</v>
      </c>
      <c r="E77" s="24">
        <f>Budget!D73</f>
        <v>0</v>
      </c>
      <c r="F77" s="24">
        <f>Budget!E73</f>
        <v>0</v>
      </c>
      <c r="G77" s="24">
        <f>Budget!F73</f>
        <v>0</v>
      </c>
      <c r="H77" s="24">
        <f>Budget!G73</f>
        <v>0</v>
      </c>
      <c r="I77" s="24">
        <f>Budget!H73</f>
        <v>0</v>
      </c>
      <c r="J77" s="1"/>
      <c r="K77" s="1"/>
    </row>
    <row r="78" spans="2:11" x14ac:dyDescent="0.35">
      <c r="B78" s="16" t="s">
        <v>70</v>
      </c>
      <c r="C78" s="144">
        <f t="shared" si="2"/>
        <v>10000</v>
      </c>
      <c r="D78" s="141">
        <v>3</v>
      </c>
      <c r="E78" s="24">
        <f>Budget!D74</f>
        <v>0</v>
      </c>
      <c r="F78" s="24">
        <f>Budget!E74</f>
        <v>0</v>
      </c>
      <c r="G78" s="24">
        <f>Budget!F74</f>
        <v>0</v>
      </c>
      <c r="H78" s="24">
        <f>Budget!G74</f>
        <v>0</v>
      </c>
      <c r="I78" s="24">
        <f>Budget!H74</f>
        <v>0</v>
      </c>
      <c r="J78" s="1"/>
      <c r="K78" s="1"/>
    </row>
    <row r="79" spans="2:11" ht="44" thickBot="1" x14ac:dyDescent="0.4">
      <c r="B79" s="98" t="s">
        <v>71</v>
      </c>
      <c r="C79" s="129">
        <f t="shared" si="2"/>
        <v>1000</v>
      </c>
      <c r="D79" s="142">
        <v>5</v>
      </c>
      <c r="E79" s="28">
        <f>ROUND(C79/D79,0)</f>
        <v>200</v>
      </c>
      <c r="F79" s="28">
        <f>ROUND(E79+E79*0.03,0)</f>
        <v>206</v>
      </c>
      <c r="G79" s="28">
        <f>ROUND(F79+F79*0.03,0)</f>
        <v>212</v>
      </c>
      <c r="H79" s="28">
        <f>ROUND(G79+G79*0.03,0)</f>
        <v>218</v>
      </c>
      <c r="I79" s="28">
        <f>ROUND(H79+H79*0.03,0)</f>
        <v>225</v>
      </c>
      <c r="J79" s="1"/>
      <c r="K79" s="1"/>
    </row>
    <row r="80" spans="2:11" x14ac:dyDescent="0.35">
      <c r="B80" s="5" t="s">
        <v>45</v>
      </c>
      <c r="C80" s="6"/>
      <c r="D80" s="7"/>
      <c r="E80" s="15">
        <f>SUM(E73:E79)</f>
        <v>862.33333333333337</v>
      </c>
      <c r="F80" s="15">
        <f>SUM(F73:F79)</f>
        <v>888</v>
      </c>
      <c r="G80" s="15">
        <f>SUM(G73:G79)</f>
        <v>914</v>
      </c>
      <c r="H80" s="15">
        <f>SUM(H73:H79)</f>
        <v>942</v>
      </c>
      <c r="I80" s="15">
        <f>SUM(I73:I79)</f>
        <v>971</v>
      </c>
      <c r="J80" s="1"/>
      <c r="K80" s="1"/>
    </row>
    <row r="81" spans="2:11" x14ac:dyDescent="0.35">
      <c r="B81" s="7"/>
      <c r="C81" s="7"/>
      <c r="D81" s="7"/>
      <c r="E81" s="40"/>
      <c r="F81" s="40"/>
      <c r="G81" s="40"/>
      <c r="H81" s="40"/>
      <c r="I81" s="40"/>
      <c r="J81" s="1"/>
      <c r="K81" s="1"/>
    </row>
    <row r="82" spans="2:11" x14ac:dyDescent="0.35">
      <c r="B82" s="1"/>
      <c r="C82" s="1"/>
      <c r="D82" s="1"/>
      <c r="E82" s="4"/>
      <c r="F82" s="1"/>
      <c r="G82" s="1"/>
      <c r="H82" s="1"/>
      <c r="I82" s="1"/>
      <c r="J82" s="1"/>
      <c r="K82" s="1"/>
    </row>
    <row r="83" spans="2:11" ht="18.5" x14ac:dyDescent="0.45">
      <c r="B83" s="236" t="s">
        <v>75</v>
      </c>
      <c r="C83" s="236"/>
      <c r="D83" s="236"/>
      <c r="E83" s="236"/>
      <c r="F83" s="236"/>
      <c r="G83" s="236"/>
      <c r="H83" s="143"/>
      <c r="I83" s="143"/>
      <c r="J83" s="1"/>
      <c r="K83" s="1"/>
    </row>
    <row r="84" spans="2:11" ht="16" thickBot="1" x14ac:dyDescent="0.4">
      <c r="B84" s="33" t="s">
        <v>29</v>
      </c>
      <c r="C84" s="33"/>
      <c r="D84" s="34" t="s">
        <v>30</v>
      </c>
      <c r="E84" s="33" t="s">
        <v>31</v>
      </c>
      <c r="F84" s="33" t="s">
        <v>32</v>
      </c>
      <c r="G84" s="1"/>
      <c r="H84" s="1"/>
      <c r="I84" s="1"/>
      <c r="J84" s="1"/>
      <c r="K84" s="1"/>
    </row>
    <row r="85" spans="2:11" x14ac:dyDescent="0.35">
      <c r="B85" s="31" t="s">
        <v>33</v>
      </c>
      <c r="C85" s="31"/>
      <c r="D85" s="6"/>
      <c r="E85" s="7"/>
      <c r="F85" s="7"/>
      <c r="G85" s="1"/>
      <c r="H85" s="1"/>
      <c r="I85" s="1"/>
      <c r="J85" s="1"/>
      <c r="K85" s="1"/>
    </row>
    <row r="86" spans="2:11" x14ac:dyDescent="0.35">
      <c r="B86" s="7" t="s">
        <v>34</v>
      </c>
      <c r="C86" s="7"/>
      <c r="D86" s="50">
        <f>F13*D90</f>
        <v>180000.00000000003</v>
      </c>
      <c r="E86" s="51">
        <f>I7</f>
        <v>7.0000000000000007E-2</v>
      </c>
      <c r="F86" s="11">
        <f>E86*D86</f>
        <v>12600.000000000004</v>
      </c>
      <c r="G86" s="1"/>
      <c r="H86" s="1"/>
      <c r="I86" s="1"/>
      <c r="J86" s="1"/>
      <c r="K86" s="1"/>
    </row>
    <row r="87" spans="2:11" x14ac:dyDescent="0.35">
      <c r="B87" s="7" t="s">
        <v>35</v>
      </c>
      <c r="C87" s="7"/>
      <c r="D87" s="50">
        <f>F14*D90</f>
        <v>240000.00000000006</v>
      </c>
      <c r="E87" s="51">
        <f>I8</f>
        <v>0.05</v>
      </c>
      <c r="F87" s="11">
        <f>E87*D87</f>
        <v>12000.000000000004</v>
      </c>
      <c r="G87" s="1"/>
      <c r="H87" s="1"/>
      <c r="I87" s="1"/>
      <c r="J87" s="1"/>
      <c r="K87" s="1"/>
    </row>
    <row r="88" spans="2:11" x14ac:dyDescent="0.35">
      <c r="B88" s="7" t="s">
        <v>36</v>
      </c>
      <c r="C88" s="7"/>
      <c r="D88" s="50">
        <f>F15*D90</f>
        <v>180000.00000000003</v>
      </c>
      <c r="E88" s="52">
        <f>I9</f>
        <v>3.5000000000000003E-2</v>
      </c>
      <c r="F88" s="13">
        <f>E88*D88</f>
        <v>6300.0000000000018</v>
      </c>
      <c r="G88" s="1"/>
      <c r="H88" s="1"/>
      <c r="I88" s="1"/>
      <c r="J88" s="1"/>
      <c r="K88" s="1"/>
    </row>
    <row r="89" spans="2:11" x14ac:dyDescent="0.35">
      <c r="B89" s="261"/>
      <c r="C89" s="261"/>
      <c r="D89" s="261"/>
      <c r="E89" s="261"/>
      <c r="F89" s="261"/>
      <c r="G89" s="261"/>
      <c r="H89" s="1"/>
      <c r="I89" s="1"/>
      <c r="J89" s="1"/>
      <c r="K89" s="1"/>
    </row>
    <row r="90" spans="2:11" x14ac:dyDescent="0.35">
      <c r="B90" s="5" t="s">
        <v>79</v>
      </c>
      <c r="C90" s="5"/>
      <c r="D90" s="50">
        <f>D93*F11</f>
        <v>600000.00000000012</v>
      </c>
      <c r="E90" s="51"/>
      <c r="F90" s="53">
        <f>SUM(F86:F88)</f>
        <v>30900.000000000007</v>
      </c>
      <c r="G90" s="1"/>
      <c r="H90" s="1"/>
      <c r="I90" s="1"/>
      <c r="J90" s="1"/>
      <c r="K90" s="1"/>
    </row>
    <row r="91" spans="2:11" x14ac:dyDescent="0.35">
      <c r="B91" s="261"/>
      <c r="C91" s="261"/>
      <c r="D91" s="261"/>
      <c r="E91" s="261"/>
      <c r="F91" s="261"/>
      <c r="G91" s="261"/>
      <c r="H91" s="1"/>
      <c r="I91" s="1"/>
      <c r="J91" s="1"/>
      <c r="K91" s="1"/>
    </row>
    <row r="92" spans="2:11" x14ac:dyDescent="0.35">
      <c r="B92" s="31" t="s">
        <v>14</v>
      </c>
      <c r="C92" s="31"/>
      <c r="D92" s="31"/>
      <c r="E92" s="50"/>
      <c r="F92" s="51"/>
      <c r="G92" s="11"/>
      <c r="H92" s="1"/>
      <c r="I92" s="1"/>
      <c r="J92" s="1"/>
      <c r="K92" s="1"/>
    </row>
    <row r="93" spans="2:11" x14ac:dyDescent="0.35">
      <c r="B93" s="7" t="s">
        <v>82</v>
      </c>
      <c r="C93" s="7"/>
      <c r="D93" s="50">
        <f>F5</f>
        <v>1000000</v>
      </c>
      <c r="E93" s="52">
        <f>I5</f>
        <v>6.0000000000000001E-3</v>
      </c>
      <c r="F93" s="11">
        <f>E93*D93</f>
        <v>6000</v>
      </c>
      <c r="G93" s="1"/>
      <c r="H93" s="1"/>
      <c r="I93" s="1"/>
      <c r="J93" s="1"/>
      <c r="K93" s="1"/>
    </row>
    <row r="94" spans="2:11" x14ac:dyDescent="0.35">
      <c r="B94" s="7" t="s">
        <v>83</v>
      </c>
      <c r="C94" s="7"/>
      <c r="D94" s="50">
        <f>F18+F17</f>
        <v>752</v>
      </c>
      <c r="E94" s="11">
        <f>D41</f>
        <v>2</v>
      </c>
      <c r="F94" s="11">
        <f>E94*D94</f>
        <v>1504</v>
      </c>
      <c r="G94" s="1"/>
      <c r="H94" s="1"/>
      <c r="I94" s="1"/>
      <c r="J94" s="1"/>
      <c r="K94" s="1"/>
    </row>
    <row r="95" spans="2:11" x14ac:dyDescent="0.35">
      <c r="B95" s="7" t="s">
        <v>84</v>
      </c>
      <c r="C95" s="7"/>
      <c r="D95" s="50">
        <f>C42</f>
        <v>205</v>
      </c>
      <c r="E95" s="51">
        <f>D42</f>
        <v>3.5</v>
      </c>
      <c r="F95" s="11">
        <f>ROUND(E95*D95,0)</f>
        <v>718</v>
      </c>
      <c r="G95" s="1"/>
      <c r="H95" s="1"/>
      <c r="I95" s="1"/>
      <c r="J95" s="1"/>
      <c r="K95" s="1"/>
    </row>
    <row r="96" spans="2:11" x14ac:dyDescent="0.35">
      <c r="B96" s="7" t="s">
        <v>85</v>
      </c>
      <c r="C96" s="7"/>
      <c r="D96" s="50">
        <f>C43</f>
        <v>205</v>
      </c>
      <c r="E96" s="51">
        <f>D43</f>
        <v>3.5</v>
      </c>
      <c r="F96" s="11">
        <f>ROUND(E96*D96,0)</f>
        <v>718</v>
      </c>
      <c r="G96" s="1"/>
      <c r="H96" s="1"/>
      <c r="I96" s="1"/>
      <c r="J96" s="1"/>
      <c r="K96" s="1"/>
    </row>
    <row r="97" spans="2:11" x14ac:dyDescent="0.35">
      <c r="B97" s="7" t="s">
        <v>109</v>
      </c>
      <c r="C97" s="7"/>
      <c r="D97" s="50"/>
      <c r="E97" s="4"/>
      <c r="F97" s="11">
        <f>D45</f>
        <v>2800</v>
      </c>
      <c r="G97" s="1"/>
      <c r="H97" s="1"/>
      <c r="I97" s="1"/>
      <c r="J97" s="1"/>
      <c r="K97" s="1"/>
    </row>
    <row r="98" spans="2:11" x14ac:dyDescent="0.35">
      <c r="B98" s="7" t="s">
        <v>86</v>
      </c>
      <c r="C98" s="7"/>
      <c r="D98" s="50">
        <f>C46</f>
        <v>662</v>
      </c>
      <c r="E98" s="51">
        <f>D46</f>
        <v>1.25</v>
      </c>
      <c r="F98" s="11">
        <f>ROUND(E98*D98,0)</f>
        <v>828</v>
      </c>
      <c r="G98" s="1"/>
      <c r="H98" s="1"/>
      <c r="I98" s="1"/>
      <c r="J98" s="1"/>
      <c r="K98" s="1"/>
    </row>
    <row r="99" spans="2:11" x14ac:dyDescent="0.35">
      <c r="B99" s="7" t="s">
        <v>87</v>
      </c>
      <c r="C99" s="7"/>
      <c r="D99" s="50">
        <f>C44</f>
        <v>1</v>
      </c>
      <c r="E99" s="11">
        <f>D44</f>
        <v>100</v>
      </c>
      <c r="F99" s="11">
        <f>D99*E99</f>
        <v>100</v>
      </c>
      <c r="G99" s="1"/>
      <c r="H99" s="1"/>
      <c r="I99" s="1"/>
      <c r="J99" s="1"/>
      <c r="K99" s="1"/>
    </row>
    <row r="100" spans="2:11" x14ac:dyDescent="0.35">
      <c r="B100" s="7" t="s">
        <v>105</v>
      </c>
      <c r="C100" s="7"/>
      <c r="D100" s="50"/>
      <c r="E100" s="11"/>
      <c r="F100" s="11">
        <f>D47</f>
        <v>4400</v>
      </c>
      <c r="G100" s="1"/>
      <c r="H100" s="1"/>
      <c r="I100" s="1"/>
      <c r="J100" s="1"/>
      <c r="K100" s="1"/>
    </row>
    <row r="101" spans="2:11" x14ac:dyDescent="0.35">
      <c r="B101" s="7" t="s">
        <v>80</v>
      </c>
      <c r="C101" s="7"/>
      <c r="D101" s="50"/>
      <c r="E101" s="51"/>
      <c r="F101" s="13">
        <f>D48</f>
        <v>250</v>
      </c>
      <c r="G101" s="1"/>
      <c r="H101" s="1"/>
      <c r="I101" s="1"/>
      <c r="J101" s="1"/>
      <c r="K101" s="1"/>
    </row>
    <row r="102" spans="2:11" x14ac:dyDescent="0.35">
      <c r="B102" s="5" t="s">
        <v>37</v>
      </c>
      <c r="C102" s="5"/>
      <c r="D102" s="5"/>
      <c r="E102" s="50"/>
      <c r="F102" s="11">
        <f>SUM(F93:F101)</f>
        <v>17318</v>
      </c>
      <c r="G102" s="53"/>
      <c r="H102" s="1"/>
      <c r="I102" s="1"/>
      <c r="J102" s="1"/>
      <c r="K102" s="1"/>
    </row>
    <row r="103" spans="2:11" x14ac:dyDescent="0.35">
      <c r="B103" s="261"/>
      <c r="C103" s="261"/>
      <c r="D103" s="261"/>
      <c r="E103" s="261"/>
      <c r="F103" s="261"/>
      <c r="G103" s="261"/>
      <c r="H103" s="1"/>
      <c r="I103" s="1"/>
      <c r="J103" s="1"/>
      <c r="K103" s="1"/>
    </row>
    <row r="104" spans="2:11" x14ac:dyDescent="0.35">
      <c r="B104" s="31" t="s">
        <v>38</v>
      </c>
      <c r="C104" s="31"/>
      <c r="D104" s="31"/>
      <c r="E104" s="50"/>
      <c r="F104" s="51"/>
      <c r="G104" s="11"/>
      <c r="H104" s="1"/>
      <c r="I104" s="1"/>
      <c r="J104" s="1"/>
      <c r="K104" s="1"/>
    </row>
    <row r="105" spans="2:11" x14ac:dyDescent="0.35">
      <c r="B105" s="123" t="s">
        <v>19</v>
      </c>
      <c r="C105" s="7"/>
      <c r="D105" s="7"/>
      <c r="E105" s="6"/>
      <c r="F105" s="7"/>
      <c r="G105" s="7"/>
      <c r="H105" s="1"/>
      <c r="I105" s="1"/>
      <c r="J105" s="1"/>
      <c r="K105" s="1"/>
    </row>
    <row r="106" spans="2:11" x14ac:dyDescent="0.35">
      <c r="B106" s="7" t="s">
        <v>114</v>
      </c>
      <c r="C106" s="7"/>
      <c r="D106" s="50">
        <f t="shared" ref="D106:E110" si="4">C50</f>
        <v>1</v>
      </c>
      <c r="E106" s="11">
        <f t="shared" si="4"/>
        <v>750</v>
      </c>
      <c r="F106" s="11">
        <f>E106*D106</f>
        <v>750</v>
      </c>
      <c r="G106" s="1"/>
      <c r="H106" s="1"/>
      <c r="I106" s="1"/>
      <c r="J106" s="1"/>
      <c r="K106" s="1"/>
    </row>
    <row r="107" spans="2:11" x14ac:dyDescent="0.35">
      <c r="B107" s="7" t="s">
        <v>115</v>
      </c>
      <c r="C107" s="7"/>
      <c r="D107" s="50">
        <f t="shared" si="4"/>
        <v>1</v>
      </c>
      <c r="E107" s="11">
        <f t="shared" si="4"/>
        <v>250</v>
      </c>
      <c r="F107" s="11">
        <f>D107*E107</f>
        <v>250</v>
      </c>
      <c r="G107" s="1"/>
      <c r="H107" s="1"/>
      <c r="I107" s="1"/>
      <c r="J107" s="1"/>
      <c r="K107" s="1"/>
    </row>
    <row r="108" spans="2:11" x14ac:dyDescent="0.35">
      <c r="B108" s="7" t="s">
        <v>81</v>
      </c>
      <c r="C108" s="7"/>
      <c r="D108" s="50">
        <f t="shared" si="4"/>
        <v>1</v>
      </c>
      <c r="E108" s="11">
        <f t="shared" si="4"/>
        <v>500</v>
      </c>
      <c r="F108" s="11">
        <f>E108*D108</f>
        <v>500</v>
      </c>
      <c r="G108" s="1"/>
      <c r="H108" s="1"/>
      <c r="I108" s="1"/>
      <c r="J108" s="1"/>
      <c r="K108" s="1"/>
    </row>
    <row r="109" spans="2:11" x14ac:dyDescent="0.35">
      <c r="B109" s="7" t="s">
        <v>112</v>
      </c>
      <c r="C109" s="7"/>
      <c r="D109" s="50">
        <f t="shared" si="4"/>
        <v>1</v>
      </c>
      <c r="E109" s="11">
        <f t="shared" si="4"/>
        <v>27</v>
      </c>
      <c r="F109" s="11">
        <f>D109*E109</f>
        <v>27</v>
      </c>
      <c r="G109" s="1"/>
      <c r="H109" s="1"/>
      <c r="I109" s="1"/>
      <c r="J109" s="1"/>
      <c r="K109" s="1"/>
    </row>
    <row r="110" spans="2:11" x14ac:dyDescent="0.35">
      <c r="B110" s="7" t="s">
        <v>113</v>
      </c>
      <c r="C110" s="7"/>
      <c r="D110" s="50">
        <f t="shared" si="4"/>
        <v>1</v>
      </c>
      <c r="E110" s="11">
        <f t="shared" si="4"/>
        <v>100</v>
      </c>
      <c r="F110" s="11">
        <f>E110*D110</f>
        <v>100</v>
      </c>
      <c r="G110" s="1"/>
      <c r="H110" s="1"/>
      <c r="I110" s="1"/>
      <c r="J110" s="1"/>
      <c r="K110" s="1"/>
    </row>
    <row r="111" spans="2:11" x14ac:dyDescent="0.35">
      <c r="B111" s="261"/>
      <c r="C111" s="261"/>
      <c r="D111" s="261"/>
      <c r="E111" s="261"/>
      <c r="F111" s="261"/>
      <c r="G111" s="261"/>
      <c r="H111" s="1"/>
      <c r="I111" s="1"/>
      <c r="J111" s="1"/>
      <c r="K111" s="1"/>
    </row>
    <row r="112" spans="2:11" x14ac:dyDescent="0.35">
      <c r="B112" s="7" t="s">
        <v>39</v>
      </c>
      <c r="C112" s="7"/>
      <c r="D112" s="7"/>
      <c r="E112" s="6"/>
      <c r="F112" s="11">
        <f>ROUND(AVERAGE(G29:K29),0)</f>
        <v>918</v>
      </c>
      <c r="G112" s="1"/>
      <c r="H112" s="1"/>
      <c r="I112" s="1"/>
      <c r="J112" s="1"/>
      <c r="K112" s="1"/>
    </row>
    <row r="113" spans="2:11" x14ac:dyDescent="0.35">
      <c r="B113" s="7" t="s">
        <v>40</v>
      </c>
      <c r="C113" s="7"/>
      <c r="D113" s="7"/>
      <c r="E113" s="6"/>
      <c r="F113" s="13">
        <f>AVERAGE(E80:I80)</f>
        <v>915.46666666666681</v>
      </c>
      <c r="G113" s="1"/>
      <c r="H113" s="1"/>
      <c r="I113" s="1"/>
      <c r="J113" s="1"/>
      <c r="K113" s="1"/>
    </row>
    <row r="114" spans="2:11" x14ac:dyDescent="0.35">
      <c r="B114" s="5" t="s">
        <v>41</v>
      </c>
      <c r="C114" s="5"/>
      <c r="D114" s="5"/>
      <c r="E114" s="6"/>
      <c r="F114" s="53">
        <f>SUM(F106:F113)</f>
        <v>3460.4666666666667</v>
      </c>
      <c r="G114" s="1"/>
      <c r="H114" s="1"/>
      <c r="I114" s="1"/>
      <c r="J114" s="1"/>
      <c r="K114" s="1"/>
    </row>
    <row r="115" spans="2:11" x14ac:dyDescent="0.35">
      <c r="B115" s="5"/>
      <c r="C115" s="5"/>
      <c r="D115" s="5"/>
      <c r="E115" s="6"/>
      <c r="F115" s="53"/>
      <c r="G115" s="1"/>
      <c r="H115" s="1"/>
      <c r="I115" s="1"/>
      <c r="J115" s="1"/>
      <c r="K115" s="1"/>
    </row>
    <row r="116" spans="2:11" x14ac:dyDescent="0.35">
      <c r="B116" s="31" t="s">
        <v>90</v>
      </c>
      <c r="C116" s="31"/>
      <c r="D116" s="31"/>
      <c r="E116" s="6"/>
      <c r="F116" s="53">
        <f>F114+F102</f>
        <v>20778.466666666667</v>
      </c>
      <c r="G116" s="1"/>
      <c r="H116" s="1"/>
      <c r="I116" s="1"/>
      <c r="J116" s="1"/>
      <c r="K116" s="1"/>
    </row>
    <row r="117" spans="2:11" x14ac:dyDescent="0.35">
      <c r="B117" s="31"/>
      <c r="C117" s="31"/>
      <c r="D117" s="31"/>
      <c r="E117" s="6"/>
      <c r="F117" s="11"/>
      <c r="G117" s="1"/>
      <c r="H117" s="1"/>
      <c r="I117" s="1"/>
      <c r="J117" s="1"/>
      <c r="K117" s="1"/>
    </row>
    <row r="118" spans="2:11" x14ac:dyDescent="0.35">
      <c r="B118" s="31" t="s">
        <v>122</v>
      </c>
      <c r="C118" s="31"/>
      <c r="D118" s="31"/>
      <c r="E118" s="6"/>
      <c r="F118" s="11"/>
      <c r="G118" s="1"/>
      <c r="H118" s="1"/>
      <c r="I118" s="1"/>
      <c r="J118" s="1"/>
      <c r="K118" s="1"/>
    </row>
    <row r="119" spans="2:11" x14ac:dyDescent="0.35">
      <c r="B119" s="123" t="s">
        <v>123</v>
      </c>
      <c r="C119" s="31"/>
      <c r="D119" s="31"/>
      <c r="E119" s="6"/>
      <c r="F119" s="11"/>
      <c r="G119" s="1"/>
      <c r="H119" s="1"/>
      <c r="I119" s="1"/>
      <c r="J119" s="1"/>
      <c r="K119" s="1"/>
    </row>
    <row r="120" spans="2:11" x14ac:dyDescent="0.35">
      <c r="B120" s="5" t="s">
        <v>119</v>
      </c>
      <c r="C120" s="31"/>
      <c r="D120" s="31"/>
      <c r="E120" s="6"/>
      <c r="F120" s="11">
        <f>F90-(F116-F113)</f>
        <v>11037.000000000007</v>
      </c>
      <c r="G120" s="1"/>
      <c r="H120" s="1"/>
      <c r="I120" s="1"/>
      <c r="J120" s="1"/>
      <c r="K120" s="1"/>
    </row>
    <row r="121" spans="2:11" x14ac:dyDescent="0.35">
      <c r="B121" s="5" t="s">
        <v>120</v>
      </c>
      <c r="C121" s="31"/>
      <c r="D121" s="31"/>
      <c r="E121" s="6"/>
      <c r="F121" s="157">
        <f>(F116-F113)/D90</f>
        <v>3.3104999999999996E-2</v>
      </c>
      <c r="G121" s="1"/>
      <c r="H121" s="1"/>
      <c r="I121" s="1"/>
      <c r="J121" s="1"/>
      <c r="K121" s="1"/>
    </row>
    <row r="122" spans="2:11" x14ac:dyDescent="0.35">
      <c r="B122" s="5" t="s">
        <v>121</v>
      </c>
      <c r="C122" s="31"/>
      <c r="D122" s="31"/>
      <c r="E122" s="6"/>
      <c r="F122" s="55">
        <f>((F116-F113)/(E86*(D86/D90)+E87*(D87/D90)+E88*(D88/D90)))/D93</f>
        <v>0.38568932038834941</v>
      </c>
      <c r="G122" s="1"/>
      <c r="H122" s="1"/>
      <c r="I122" s="1"/>
      <c r="J122" s="1"/>
      <c r="K122" s="1"/>
    </row>
    <row r="123" spans="2:11" x14ac:dyDescent="0.35">
      <c r="B123" s="5"/>
      <c r="C123" s="31"/>
      <c r="D123" s="31"/>
      <c r="E123" s="6"/>
      <c r="F123" s="55"/>
      <c r="G123" s="1"/>
      <c r="H123" s="1"/>
      <c r="I123" s="1"/>
      <c r="J123" s="1"/>
      <c r="K123" s="1"/>
    </row>
    <row r="124" spans="2:11" x14ac:dyDescent="0.35">
      <c r="B124" s="158" t="s">
        <v>90</v>
      </c>
      <c r="C124" s="156"/>
      <c r="D124" s="156"/>
      <c r="E124" s="156"/>
      <c r="F124" s="156"/>
      <c r="G124" s="156"/>
      <c r="H124" s="1"/>
      <c r="I124" s="1"/>
      <c r="J124" s="1"/>
      <c r="K124" s="1"/>
    </row>
    <row r="125" spans="2:11" x14ac:dyDescent="0.35">
      <c r="B125" s="5" t="s">
        <v>42</v>
      </c>
      <c r="C125" s="5"/>
      <c r="D125" s="5"/>
      <c r="E125" s="6"/>
      <c r="F125" s="11">
        <f>F90-F116</f>
        <v>10121.53333333334</v>
      </c>
      <c r="G125" s="1"/>
      <c r="H125" s="1"/>
      <c r="I125" s="1"/>
      <c r="J125" s="1"/>
      <c r="K125" s="1"/>
    </row>
    <row r="126" spans="2:11" x14ac:dyDescent="0.35">
      <c r="B126" s="5" t="s">
        <v>43</v>
      </c>
      <c r="C126" s="5"/>
      <c r="D126" s="5"/>
      <c r="E126" s="6"/>
      <c r="F126" s="54">
        <f>F116/D90</f>
        <v>3.4630777777777774E-2</v>
      </c>
      <c r="G126" s="1"/>
      <c r="H126" s="1"/>
      <c r="I126" s="1"/>
      <c r="J126" s="1"/>
      <c r="K126" s="1"/>
    </row>
    <row r="127" spans="2:11" x14ac:dyDescent="0.35">
      <c r="B127" s="5" t="s">
        <v>44</v>
      </c>
      <c r="C127" s="5"/>
      <c r="D127" s="5"/>
      <c r="E127" s="6"/>
      <c r="F127" s="55">
        <f>(F116/(E86*(D86/D90)+E87*(D87/D90)+E88*(D88/D90)))/D93</f>
        <v>0.40346537216828471</v>
      </c>
      <c r="G127" s="1"/>
      <c r="H127" s="1"/>
      <c r="I127" s="1"/>
      <c r="J127" s="1"/>
      <c r="K127" s="1"/>
    </row>
  </sheetData>
  <mergeCells count="23">
    <mergeCell ref="D5:E5"/>
    <mergeCell ref="D12:F12"/>
    <mergeCell ref="D13:E13"/>
    <mergeCell ref="B20:K20"/>
    <mergeCell ref="B37:I37"/>
    <mergeCell ref="B111:G111"/>
    <mergeCell ref="D14:E14"/>
    <mergeCell ref="D15:E15"/>
    <mergeCell ref="D16:E16"/>
    <mergeCell ref="D17:E17"/>
    <mergeCell ref="D18:E18"/>
    <mergeCell ref="B59:I59"/>
    <mergeCell ref="B91:G91"/>
    <mergeCell ref="B103:G103"/>
    <mergeCell ref="E70:F70"/>
    <mergeCell ref="B83:G83"/>
    <mergeCell ref="B89:G89"/>
    <mergeCell ref="D11:E11"/>
    <mergeCell ref="D6:E6"/>
    <mergeCell ref="D7:E7"/>
    <mergeCell ref="D8:E8"/>
    <mergeCell ref="D9:E9"/>
    <mergeCell ref="D10:E10"/>
  </mergeCells>
  <dataValidations count="4">
    <dataValidation type="whole" allowBlank="1" showInputMessage="1" showErrorMessage="1" sqref="E25:E28">
      <formula1>0</formula1>
      <formula2>1</formula2>
    </dataValidation>
    <dataValidation type="whole" operator="greaterThan" allowBlank="1" showInputMessage="1" showErrorMessage="1" sqref="C22:C28 D24:D28 E24 F53:I54 E50:E54 F5 E40:E41 F47:I47 E43:E48 D75:D79 C73:C79">
      <formula1>0</formula1>
    </dataValidation>
    <dataValidation type="decimal" operator="greaterThan" allowBlank="1" showInputMessage="1" showErrorMessage="1" sqref="I7:I9 I5 F6:F7 F9:F11">
      <formula1>0</formula1>
    </dataValidation>
    <dataValidation type="decimal" operator="greaterThanOrEqual" allowBlank="1" showInputMessage="1" showErrorMessage="1" sqref="F13:F15">
      <formula1>0</formula1>
    </dataValidation>
  </dataValidations>
  <pageMargins left="0.75" right="0.75" top="1" bottom="1" header="0.5" footer="0.5"/>
  <pageSetup orientation="portrait" horizontalDpi="4294967292" verticalDpi="429496729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27"/>
  <sheetViews>
    <sheetView topLeftCell="A42" workbookViewId="0">
      <selection activeCell="F77" sqref="F77"/>
    </sheetView>
  </sheetViews>
  <sheetFormatPr defaultColWidth="11" defaultRowHeight="15.5" x14ac:dyDescent="0.35"/>
  <sheetData>
    <row r="3" spans="2:11" ht="16" thickBot="1" x14ac:dyDescent="0.4">
      <c r="B3" s="1"/>
      <c r="C3" s="1"/>
      <c r="D3" s="1"/>
      <c r="E3" s="66"/>
      <c r="F3" s="37"/>
      <c r="G3" s="7"/>
      <c r="H3" s="1"/>
      <c r="I3" s="1"/>
      <c r="J3" s="1"/>
      <c r="K3" s="1"/>
    </row>
    <row r="4" spans="2:11" x14ac:dyDescent="0.35">
      <c r="B4" s="1"/>
      <c r="C4" s="1"/>
      <c r="D4" s="18" t="s">
        <v>51</v>
      </c>
      <c r="E4" s="117"/>
      <c r="F4" s="19" t="s">
        <v>50</v>
      </c>
      <c r="G4" s="1"/>
      <c r="H4" s="18" t="s">
        <v>53</v>
      </c>
      <c r="I4" s="19" t="s">
        <v>54</v>
      </c>
      <c r="J4" s="1"/>
      <c r="K4" s="1"/>
    </row>
    <row r="5" spans="2:11" x14ac:dyDescent="0.35">
      <c r="B5" s="1"/>
      <c r="C5" s="1"/>
      <c r="D5" s="239" t="s">
        <v>73</v>
      </c>
      <c r="E5" s="240"/>
      <c r="F5" s="56">
        <f>Budget!E5</f>
        <v>1000000</v>
      </c>
      <c r="G5" s="1"/>
      <c r="H5" s="22" t="s">
        <v>46</v>
      </c>
      <c r="I5" s="62">
        <f>Budget!H5</f>
        <v>6.0000000000000001E-3</v>
      </c>
      <c r="J5" s="1"/>
      <c r="K5" s="1"/>
    </row>
    <row r="6" spans="2:11" x14ac:dyDescent="0.35">
      <c r="B6" s="1"/>
      <c r="C6" s="1"/>
      <c r="D6" s="247" t="s">
        <v>60</v>
      </c>
      <c r="E6" s="248"/>
      <c r="F6" s="57">
        <f>Budget!E6</f>
        <v>10000</v>
      </c>
      <c r="G6" s="1"/>
      <c r="H6" s="43" t="s">
        <v>47</v>
      </c>
      <c r="I6" s="21">
        <f>Budget!H6</f>
        <v>0</v>
      </c>
      <c r="J6" s="1"/>
      <c r="K6" s="1"/>
    </row>
    <row r="7" spans="2:11" x14ac:dyDescent="0.35">
      <c r="B7" s="1"/>
      <c r="C7" s="1"/>
      <c r="D7" s="239" t="s">
        <v>55</v>
      </c>
      <c r="E7" s="240"/>
      <c r="F7" s="82">
        <f>Budget!E7</f>
        <v>1150</v>
      </c>
      <c r="G7" s="1"/>
      <c r="H7" s="20" t="s">
        <v>67</v>
      </c>
      <c r="I7" s="45">
        <f>Budget!H7</f>
        <v>7.0000000000000007E-2</v>
      </c>
      <c r="J7" s="1"/>
      <c r="K7" s="1"/>
    </row>
    <row r="8" spans="2:11" x14ac:dyDescent="0.35">
      <c r="B8" s="1"/>
      <c r="C8" s="1"/>
      <c r="D8" s="239" t="s">
        <v>56</v>
      </c>
      <c r="E8" s="240"/>
      <c r="F8" s="59"/>
      <c r="G8" s="1"/>
      <c r="H8" s="20" t="s">
        <v>62</v>
      </c>
      <c r="I8" s="45">
        <f>Budget!H8</f>
        <v>0.05</v>
      </c>
      <c r="J8" s="1"/>
      <c r="K8" s="1"/>
    </row>
    <row r="9" spans="2:11" ht="16" thickBot="1" x14ac:dyDescent="0.4">
      <c r="B9" s="1"/>
      <c r="C9" s="1"/>
      <c r="D9" s="237" t="s">
        <v>57</v>
      </c>
      <c r="E9" s="238"/>
      <c r="F9" s="60">
        <f>Budget!E9</f>
        <v>0.75</v>
      </c>
      <c r="G9" s="1"/>
      <c r="H9" s="44" t="s">
        <v>63</v>
      </c>
      <c r="I9" s="46">
        <f>Budget!H9</f>
        <v>3.5000000000000003E-2</v>
      </c>
      <c r="J9" s="1"/>
      <c r="K9" s="1"/>
    </row>
    <row r="10" spans="2:11" x14ac:dyDescent="0.35">
      <c r="B10" s="1"/>
      <c r="C10" s="1"/>
      <c r="D10" s="237" t="s">
        <v>58</v>
      </c>
      <c r="E10" s="238"/>
      <c r="F10" s="60">
        <f>Budget!E10</f>
        <v>0.8</v>
      </c>
      <c r="G10" s="1"/>
      <c r="H10" s="17"/>
      <c r="I10" s="1"/>
      <c r="J10" s="1"/>
      <c r="K10" s="1"/>
    </row>
    <row r="11" spans="2:11" x14ac:dyDescent="0.35">
      <c r="B11" s="1"/>
      <c r="C11" s="1"/>
      <c r="D11" s="237" t="s">
        <v>59</v>
      </c>
      <c r="E11" s="238"/>
      <c r="F11" s="132">
        <f>F9*F10</f>
        <v>0.60000000000000009</v>
      </c>
      <c r="G11" s="1"/>
      <c r="H11" s="138"/>
      <c r="I11" s="139"/>
      <c r="J11" s="1"/>
      <c r="K11" s="1"/>
    </row>
    <row r="12" spans="2:11" x14ac:dyDescent="0.35">
      <c r="B12" s="1"/>
      <c r="C12" s="1"/>
      <c r="D12" s="239" t="s">
        <v>52</v>
      </c>
      <c r="E12" s="240"/>
      <c r="F12" s="241"/>
      <c r="G12" s="1"/>
      <c r="H12" s="1"/>
      <c r="I12" s="1"/>
      <c r="J12" s="1"/>
      <c r="K12" s="1"/>
    </row>
    <row r="13" spans="2:11" x14ac:dyDescent="0.35">
      <c r="B13" s="1"/>
      <c r="C13" s="1"/>
      <c r="D13" s="237" t="s">
        <v>61</v>
      </c>
      <c r="E13" s="238"/>
      <c r="F13" s="60">
        <f>'Cash Cost Sensitivities (2)'!A28</f>
        <v>0.4</v>
      </c>
      <c r="G13" s="1"/>
      <c r="H13" s="1"/>
      <c r="I13" s="1"/>
      <c r="J13" s="1"/>
      <c r="K13" s="1"/>
    </row>
    <row r="14" spans="2:11" x14ac:dyDescent="0.35">
      <c r="B14" s="1"/>
      <c r="C14" s="1"/>
      <c r="D14" s="237" t="s">
        <v>62</v>
      </c>
      <c r="E14" s="238"/>
      <c r="F14" s="60">
        <f>'Cash Cost Sensitivities (2)'!B28</f>
        <v>0.35</v>
      </c>
      <c r="G14" s="1"/>
      <c r="H14" s="1"/>
      <c r="I14" s="1"/>
      <c r="J14" s="1"/>
      <c r="K14" s="1"/>
    </row>
    <row r="15" spans="2:11" x14ac:dyDescent="0.35">
      <c r="B15" s="1"/>
      <c r="C15" s="1"/>
      <c r="D15" s="237" t="s">
        <v>63</v>
      </c>
      <c r="E15" s="238"/>
      <c r="F15" s="105">
        <f>'Cash Cost Sensitivities (2)'!C28</f>
        <v>0.25</v>
      </c>
      <c r="G15" s="1"/>
      <c r="H15" s="1"/>
      <c r="I15" s="1"/>
      <c r="J15" s="1"/>
      <c r="K15" s="1"/>
    </row>
    <row r="16" spans="2:11" x14ac:dyDescent="0.35">
      <c r="B16" s="7"/>
      <c r="C16" s="7"/>
      <c r="D16" s="242" t="s">
        <v>103</v>
      </c>
      <c r="E16" s="243"/>
      <c r="F16" s="103"/>
      <c r="G16" s="1"/>
      <c r="H16" s="1"/>
      <c r="I16" s="1"/>
      <c r="J16" s="1"/>
      <c r="K16" s="1"/>
    </row>
    <row r="17" spans="2:11" x14ac:dyDescent="0.35">
      <c r="B17" s="1"/>
      <c r="C17" s="1"/>
      <c r="D17" s="250" t="s">
        <v>57</v>
      </c>
      <c r="E17" s="251"/>
      <c r="F17" s="106">
        <f>ROUND(F5/F6,0)</f>
        <v>100</v>
      </c>
      <c r="G17" s="1"/>
      <c r="H17" s="1"/>
      <c r="I17" s="1"/>
      <c r="J17" s="1"/>
      <c r="K17" s="1"/>
    </row>
    <row r="18" spans="2:11" ht="16" thickBot="1" x14ac:dyDescent="0.4">
      <c r="B18" s="2"/>
      <c r="C18" s="2"/>
      <c r="D18" s="252" t="s">
        <v>102</v>
      </c>
      <c r="E18" s="253"/>
      <c r="F18" s="104">
        <f>ROUND(F5*F9/F7,0)</f>
        <v>652</v>
      </c>
      <c r="G18" s="1"/>
      <c r="H18" s="1"/>
      <c r="I18" s="1"/>
      <c r="J18" s="1"/>
      <c r="K18" s="1"/>
    </row>
    <row r="19" spans="2:11" x14ac:dyDescent="0.35">
      <c r="B19" s="2"/>
      <c r="C19" s="2"/>
      <c r="D19" s="2"/>
      <c r="E19" s="14"/>
      <c r="F19" s="2"/>
      <c r="G19" s="1"/>
      <c r="H19" s="1"/>
      <c r="I19" s="1"/>
      <c r="J19" s="1"/>
      <c r="K19" s="1"/>
    </row>
    <row r="20" spans="2:11" ht="18.5" x14ac:dyDescent="0.45">
      <c r="B20" s="236" t="s">
        <v>12</v>
      </c>
      <c r="C20" s="236"/>
      <c r="D20" s="236"/>
      <c r="E20" s="236"/>
      <c r="F20" s="236"/>
      <c r="G20" s="236"/>
      <c r="H20" s="236"/>
      <c r="I20" s="236"/>
      <c r="J20" s="236"/>
      <c r="K20" s="236"/>
    </row>
    <row r="21" spans="2:11" ht="16" thickBot="1" x14ac:dyDescent="0.4">
      <c r="B21" s="23" t="s">
        <v>0</v>
      </c>
      <c r="C21" s="34" t="s">
        <v>1</v>
      </c>
      <c r="D21" s="33" t="s">
        <v>2</v>
      </c>
      <c r="E21" s="33" t="s">
        <v>72</v>
      </c>
      <c r="F21" s="33" t="s">
        <v>117</v>
      </c>
      <c r="G21" s="33" t="s">
        <v>3</v>
      </c>
      <c r="H21" s="33" t="s">
        <v>4</v>
      </c>
      <c r="I21" s="33" t="s">
        <v>5</v>
      </c>
      <c r="J21" s="33" t="s">
        <v>6</v>
      </c>
      <c r="K21" s="33" t="s">
        <v>7</v>
      </c>
    </row>
    <row r="22" spans="2:11" x14ac:dyDescent="0.35">
      <c r="B22" s="25" t="s">
        <v>8</v>
      </c>
      <c r="C22" s="68">
        <f>Budget!B22</f>
        <v>7</v>
      </c>
      <c r="D22" s="140">
        <f>Budget!C22</f>
        <v>4</v>
      </c>
      <c r="E22" s="146">
        <f>Budget!D22</f>
        <v>25</v>
      </c>
      <c r="F22" s="149">
        <f>Budget!E22</f>
        <v>175</v>
      </c>
      <c r="G22" s="149">
        <f>Budget!F22</f>
        <v>175</v>
      </c>
      <c r="H22" s="149">
        <f>Budget!G22</f>
        <v>180</v>
      </c>
      <c r="I22" s="149">
        <f>Budget!H22</f>
        <v>186</v>
      </c>
      <c r="J22" s="149">
        <f>Budget!I22</f>
        <v>191</v>
      </c>
      <c r="K22" s="149">
        <f>Budget!J22</f>
        <v>197</v>
      </c>
    </row>
    <row r="23" spans="2:11" x14ac:dyDescent="0.35">
      <c r="B23" s="16" t="s">
        <v>9</v>
      </c>
      <c r="C23" s="67">
        <f>Budget!B23</f>
        <v>6.2</v>
      </c>
      <c r="D23" s="141">
        <f>Budget!C23</f>
        <v>10</v>
      </c>
      <c r="E23" s="181">
        <f>Budget!D23</f>
        <v>65</v>
      </c>
      <c r="F23" s="150">
        <f>Budget!E23</f>
        <v>404</v>
      </c>
      <c r="G23" s="150">
        <f>Budget!F23</f>
        <v>403</v>
      </c>
      <c r="H23" s="150">
        <f>Budget!G23</f>
        <v>415</v>
      </c>
      <c r="I23" s="150">
        <f>Budget!H23</f>
        <v>428</v>
      </c>
      <c r="J23" s="150">
        <f>Budget!I23</f>
        <v>440</v>
      </c>
      <c r="K23" s="150">
        <f>Budget!J23</f>
        <v>454</v>
      </c>
    </row>
    <row r="24" spans="2:11" x14ac:dyDescent="0.35">
      <c r="B24" s="16" t="s">
        <v>10</v>
      </c>
      <c r="C24" s="67">
        <f>Budget!B24</f>
        <v>250</v>
      </c>
      <c r="D24" s="141">
        <f>Budget!C24</f>
        <v>3</v>
      </c>
      <c r="E24" s="182">
        <f>Budget!D24</f>
        <v>1</v>
      </c>
      <c r="F24" s="151">
        <f>Budget!E24</f>
        <v>0</v>
      </c>
      <c r="G24" s="150">
        <f>Budget!F24</f>
        <v>250</v>
      </c>
      <c r="H24" s="150">
        <f>Budget!G24</f>
        <v>0</v>
      </c>
      <c r="I24" s="150">
        <f>Budget!H24</f>
        <v>0</v>
      </c>
      <c r="J24" s="150">
        <f>Budget!I24</f>
        <v>273</v>
      </c>
      <c r="K24" s="150">
        <f>Budget!J24</f>
        <v>0</v>
      </c>
    </row>
    <row r="25" spans="2:11" x14ac:dyDescent="0.35">
      <c r="B25" s="16" t="s">
        <v>11</v>
      </c>
      <c r="C25" s="67">
        <f>Budget!B25</f>
        <v>18000</v>
      </c>
      <c r="D25" s="141">
        <f>Budget!C25</f>
        <v>7</v>
      </c>
      <c r="E25" s="141">
        <f>Budget!D25</f>
        <v>0</v>
      </c>
      <c r="F25" s="152">
        <f>Budget!E25</f>
        <v>0</v>
      </c>
      <c r="G25" s="150">
        <f>Budget!F25</f>
        <v>0</v>
      </c>
      <c r="H25" s="150">
        <f>Budget!G25</f>
        <v>0</v>
      </c>
      <c r="I25" s="150">
        <f>Budget!H25</f>
        <v>0</v>
      </c>
      <c r="J25" s="150">
        <f>Budget!I25</f>
        <v>0</v>
      </c>
      <c r="K25" s="150">
        <f>Budget!J25</f>
        <v>0</v>
      </c>
    </row>
    <row r="26" spans="2:11" x14ac:dyDescent="0.35">
      <c r="B26" s="16" t="s">
        <v>69</v>
      </c>
      <c r="C26" s="67">
        <f>Budget!B26</f>
        <v>28000</v>
      </c>
      <c r="D26" s="141">
        <f>Budget!C26</f>
        <v>10</v>
      </c>
      <c r="E26" s="141">
        <f>Budget!D26</f>
        <v>0</v>
      </c>
      <c r="F26" s="152">
        <f>Budget!E26</f>
        <v>0</v>
      </c>
      <c r="G26" s="150">
        <f>Budget!F26</f>
        <v>0</v>
      </c>
      <c r="H26" s="150">
        <f>Budget!G26</f>
        <v>0</v>
      </c>
      <c r="I26" s="150">
        <f>Budget!H26</f>
        <v>0</v>
      </c>
      <c r="J26" s="150">
        <f>Budget!I26</f>
        <v>0</v>
      </c>
      <c r="K26" s="150">
        <f>Budget!J26</f>
        <v>0</v>
      </c>
    </row>
    <row r="27" spans="2:11" x14ac:dyDescent="0.35">
      <c r="B27" s="16" t="s">
        <v>70</v>
      </c>
      <c r="C27" s="67">
        <f>Budget!B27</f>
        <v>10000</v>
      </c>
      <c r="D27" s="141">
        <f>Budget!C27</f>
        <v>3</v>
      </c>
      <c r="E27" s="141">
        <f>Budget!D27</f>
        <v>0</v>
      </c>
      <c r="F27" s="152">
        <f>Budget!E27</f>
        <v>0</v>
      </c>
      <c r="G27" s="150">
        <f>Budget!F27</f>
        <v>0</v>
      </c>
      <c r="H27" s="150">
        <f>Budget!G27</f>
        <v>0</v>
      </c>
      <c r="I27" s="150">
        <f>Budget!H27</f>
        <v>0</v>
      </c>
      <c r="J27" s="150">
        <f>Budget!I27</f>
        <v>0</v>
      </c>
      <c r="K27" s="150">
        <f>Budget!J27</f>
        <v>0</v>
      </c>
    </row>
    <row r="28" spans="2:11" ht="44" thickBot="1" x14ac:dyDescent="0.4">
      <c r="B28" s="98" t="s">
        <v>71</v>
      </c>
      <c r="C28" s="69">
        <f>Budget!B28</f>
        <v>1000</v>
      </c>
      <c r="D28" s="142">
        <f>Budget!C28</f>
        <v>5</v>
      </c>
      <c r="E28" s="142">
        <f>Budget!D28</f>
        <v>1</v>
      </c>
      <c r="F28" s="153">
        <f>Budget!E28</f>
        <v>0</v>
      </c>
      <c r="G28" s="154">
        <f>Budget!F28</f>
        <v>1000</v>
      </c>
      <c r="H28" s="154">
        <f>Budget!G28</f>
        <v>0</v>
      </c>
      <c r="I28" s="154">
        <f>Budget!H28</f>
        <v>0</v>
      </c>
      <c r="J28" s="154">
        <f>Budget!I28</f>
        <v>0</v>
      </c>
      <c r="K28" s="154">
        <f>Budget!J28</f>
        <v>0</v>
      </c>
    </row>
    <row r="29" spans="2:11" x14ac:dyDescent="0.35">
      <c r="B29" s="5" t="s">
        <v>45</v>
      </c>
      <c r="C29" s="6"/>
      <c r="D29" s="7"/>
      <c r="E29" s="7"/>
      <c r="F29" s="15"/>
      <c r="G29" s="15">
        <f>SUM(G22:G28)</f>
        <v>1828</v>
      </c>
      <c r="H29" s="15">
        <f>SUM(H22:H28)</f>
        <v>595</v>
      </c>
      <c r="I29" s="15">
        <f>SUM(I22:I28)</f>
        <v>614</v>
      </c>
      <c r="J29" s="15">
        <f>SUM(J22:J28)</f>
        <v>904</v>
      </c>
      <c r="K29" s="15">
        <f>SUM(K22:K28)</f>
        <v>651</v>
      </c>
    </row>
    <row r="30" spans="2:11" x14ac:dyDescent="0.35">
      <c r="B30" s="1"/>
      <c r="C30" s="1"/>
      <c r="D30" s="1"/>
      <c r="E30" s="4"/>
      <c r="F30" s="1"/>
      <c r="G30" s="1"/>
      <c r="H30" s="1"/>
      <c r="I30" s="1"/>
      <c r="J30" s="1"/>
      <c r="K30" s="1"/>
    </row>
    <row r="31" spans="2:11" x14ac:dyDescent="0.35">
      <c r="B31" s="107"/>
      <c r="C31" s="107"/>
      <c r="D31" s="107"/>
      <c r="E31" s="4"/>
      <c r="F31" s="1"/>
      <c r="G31" s="1"/>
      <c r="H31" s="1"/>
      <c r="I31" s="1"/>
      <c r="J31" s="1"/>
      <c r="K31" s="1"/>
    </row>
    <row r="32" spans="2:11" x14ac:dyDescent="0.35">
      <c r="B32" s="107"/>
      <c r="C32" s="107"/>
      <c r="D32" s="107"/>
      <c r="E32" s="4"/>
      <c r="F32" s="1"/>
      <c r="G32" s="1"/>
      <c r="H32" s="1"/>
      <c r="I32" s="1"/>
      <c r="J32" s="1"/>
      <c r="K32" s="1"/>
    </row>
    <row r="33" spans="2:11" x14ac:dyDescent="0.35">
      <c r="B33" s="107"/>
      <c r="C33" s="107"/>
      <c r="D33" s="107"/>
      <c r="E33" s="4"/>
      <c r="F33" s="1"/>
      <c r="G33" s="1"/>
      <c r="H33" s="1"/>
      <c r="I33" s="1"/>
      <c r="J33" s="1"/>
      <c r="K33" s="1"/>
    </row>
    <row r="34" spans="2:11" x14ac:dyDescent="0.35">
      <c r="B34" s="107"/>
      <c r="C34" s="107"/>
      <c r="D34" s="107"/>
      <c r="E34" s="4"/>
      <c r="F34" s="1"/>
      <c r="G34" s="1"/>
      <c r="H34" s="1"/>
      <c r="I34" s="1"/>
      <c r="J34" s="1"/>
      <c r="K34" s="1"/>
    </row>
    <row r="35" spans="2:11" x14ac:dyDescent="0.35">
      <c r="B35" s="107"/>
      <c r="C35" s="107"/>
      <c r="D35" s="107"/>
      <c r="E35" s="4"/>
      <c r="F35" s="1"/>
      <c r="G35" s="1"/>
      <c r="H35" s="1"/>
      <c r="I35" s="1"/>
      <c r="J35" s="1"/>
      <c r="K35" s="1"/>
    </row>
    <row r="36" spans="2:11" x14ac:dyDescent="0.35">
      <c r="B36" s="107"/>
      <c r="C36" s="107"/>
      <c r="D36" s="107"/>
      <c r="E36" s="4"/>
      <c r="F36" s="1"/>
      <c r="G36" s="1"/>
      <c r="H36" s="1"/>
      <c r="I36" s="1"/>
      <c r="J36" s="1"/>
      <c r="K36" s="1"/>
    </row>
    <row r="37" spans="2:11" ht="18.5" x14ac:dyDescent="0.45">
      <c r="B37" s="236" t="s">
        <v>14</v>
      </c>
      <c r="C37" s="236"/>
      <c r="D37" s="236"/>
      <c r="E37" s="236"/>
      <c r="F37" s="236"/>
      <c r="G37" s="236"/>
      <c r="H37" s="236"/>
      <c r="I37" s="236"/>
      <c r="J37" s="1"/>
      <c r="K37" s="1"/>
    </row>
    <row r="38" spans="2:11" ht="44" thickBot="1" x14ac:dyDescent="0.4">
      <c r="B38" s="33" t="s">
        <v>13</v>
      </c>
      <c r="C38" s="23" t="s">
        <v>107</v>
      </c>
      <c r="D38" s="122" t="s">
        <v>110</v>
      </c>
      <c r="E38" s="34" t="s">
        <v>3</v>
      </c>
      <c r="F38" s="33" t="s">
        <v>4</v>
      </c>
      <c r="G38" s="33" t="s">
        <v>5</v>
      </c>
      <c r="H38" s="33" t="s">
        <v>6</v>
      </c>
      <c r="I38" s="33" t="s">
        <v>7</v>
      </c>
      <c r="J38" s="1"/>
      <c r="K38" s="1"/>
    </row>
    <row r="39" spans="2:11" x14ac:dyDescent="0.35">
      <c r="B39" s="41" t="s">
        <v>14</v>
      </c>
      <c r="C39" s="1"/>
      <c r="D39" s="1"/>
      <c r="E39" s="32"/>
      <c r="F39" s="9"/>
      <c r="G39" s="9"/>
      <c r="H39" s="9"/>
      <c r="I39" s="102"/>
      <c r="J39" s="1"/>
      <c r="K39" s="1"/>
    </row>
    <row r="40" spans="2:11" x14ac:dyDescent="0.35">
      <c r="B40" s="25" t="s">
        <v>15</v>
      </c>
      <c r="C40" s="115">
        <f>F5</f>
        <v>1000000</v>
      </c>
      <c r="D40" s="118">
        <f>I5</f>
        <v>6.0000000000000001E-3</v>
      </c>
      <c r="E40" s="119">
        <f>C40*D40</f>
        <v>6000</v>
      </c>
      <c r="F40" s="30">
        <v>6000</v>
      </c>
      <c r="G40" s="30">
        <v>6000</v>
      </c>
      <c r="H40" s="30">
        <v>6000</v>
      </c>
      <c r="I40" s="30">
        <v>6000</v>
      </c>
      <c r="J40" s="12"/>
      <c r="K40" s="12"/>
    </row>
    <row r="41" spans="2:11" x14ac:dyDescent="0.35">
      <c r="B41" s="16" t="s">
        <v>108</v>
      </c>
      <c r="C41" s="116">
        <f>F17+F18</f>
        <v>752</v>
      </c>
      <c r="D41" s="67">
        <f>Budget!C35</f>
        <v>2</v>
      </c>
      <c r="E41" s="125">
        <f>C41*D41</f>
        <v>1504</v>
      </c>
      <c r="F41" s="29">
        <f>ROUND(E41+E41*0.03,0)</f>
        <v>1549</v>
      </c>
      <c r="G41" s="29">
        <f>ROUND(F41+F41*0.03,0)</f>
        <v>1595</v>
      </c>
      <c r="H41" s="29">
        <f t="shared" ref="H41:I52" si="0">ROUND(G41+G41*0.03,0)</f>
        <v>1643</v>
      </c>
      <c r="I41" s="29">
        <f t="shared" si="0"/>
        <v>1692</v>
      </c>
      <c r="J41" s="1"/>
      <c r="K41" s="1"/>
    </row>
    <row r="42" spans="2:11" x14ac:dyDescent="0.35">
      <c r="B42" s="16" t="s">
        <v>16</v>
      </c>
      <c r="C42" s="131">
        <f>Budget!B36</f>
        <v>205</v>
      </c>
      <c r="D42" s="67">
        <f>Budget!C36</f>
        <v>3.5</v>
      </c>
      <c r="E42" s="125">
        <f>C42*D42</f>
        <v>717.5</v>
      </c>
      <c r="F42" s="29">
        <f t="shared" ref="F42:G48" si="1">ROUND(E42+E42*0.03,0)</f>
        <v>739</v>
      </c>
      <c r="G42" s="29">
        <f t="shared" si="1"/>
        <v>761</v>
      </c>
      <c r="H42" s="29">
        <f t="shared" si="0"/>
        <v>784</v>
      </c>
      <c r="I42" s="29">
        <f t="shared" si="0"/>
        <v>808</v>
      </c>
      <c r="J42" s="1"/>
      <c r="K42" s="1"/>
    </row>
    <row r="43" spans="2:11" x14ac:dyDescent="0.35">
      <c r="B43" s="16" t="s">
        <v>17</v>
      </c>
      <c r="C43" s="131">
        <f>Budget!B37</f>
        <v>205</v>
      </c>
      <c r="D43" s="67">
        <f>Budget!C37</f>
        <v>3.5</v>
      </c>
      <c r="E43" s="125">
        <f>C43*D43</f>
        <v>717.5</v>
      </c>
      <c r="F43" s="29">
        <f t="shared" si="1"/>
        <v>739</v>
      </c>
      <c r="G43" s="29">
        <f t="shared" si="1"/>
        <v>761</v>
      </c>
      <c r="H43" s="29">
        <f t="shared" si="0"/>
        <v>784</v>
      </c>
      <c r="I43" s="29">
        <f t="shared" si="0"/>
        <v>808</v>
      </c>
      <c r="J43" s="1"/>
      <c r="K43" s="1"/>
    </row>
    <row r="44" spans="2:11" x14ac:dyDescent="0.35">
      <c r="B44" s="16" t="s">
        <v>18</v>
      </c>
      <c r="C44" s="164">
        <f>Budget!B38</f>
        <v>1</v>
      </c>
      <c r="D44" s="67">
        <f>Budget!C38</f>
        <v>100</v>
      </c>
      <c r="E44" s="125">
        <f>C44*D44</f>
        <v>100</v>
      </c>
      <c r="F44" s="29">
        <f t="shared" si="1"/>
        <v>103</v>
      </c>
      <c r="G44" s="29">
        <f t="shared" si="1"/>
        <v>106</v>
      </c>
      <c r="H44" s="29">
        <f t="shared" si="0"/>
        <v>109</v>
      </c>
      <c r="I44" s="29">
        <f t="shared" si="0"/>
        <v>112</v>
      </c>
      <c r="J44" s="1"/>
      <c r="K44" s="1"/>
    </row>
    <row r="45" spans="2:11" x14ac:dyDescent="0.35">
      <c r="B45" s="16" t="s">
        <v>77</v>
      </c>
      <c r="C45" s="121"/>
      <c r="D45" s="67">
        <f>Budget!C39</f>
        <v>2800</v>
      </c>
      <c r="E45" s="125">
        <f>D45</f>
        <v>2800</v>
      </c>
      <c r="F45" s="29">
        <f t="shared" si="1"/>
        <v>2884</v>
      </c>
      <c r="G45" s="29">
        <f t="shared" si="1"/>
        <v>2971</v>
      </c>
      <c r="H45" s="29">
        <f t="shared" si="0"/>
        <v>3060</v>
      </c>
      <c r="I45" s="29">
        <f t="shared" si="0"/>
        <v>3152</v>
      </c>
      <c r="J45" s="1"/>
      <c r="K45" s="1"/>
    </row>
    <row r="46" spans="2:11" x14ac:dyDescent="0.35">
      <c r="B46" s="16" t="s">
        <v>78</v>
      </c>
      <c r="C46" s="120">
        <f>ROUND(0.75*F17+0.9*F18,0)</f>
        <v>662</v>
      </c>
      <c r="D46" s="67">
        <f>Budget!C40</f>
        <v>1.25</v>
      </c>
      <c r="E46" s="125">
        <f>C46*D46</f>
        <v>827.5</v>
      </c>
      <c r="F46" s="29">
        <f t="shared" si="1"/>
        <v>852</v>
      </c>
      <c r="G46" s="29">
        <f t="shared" si="1"/>
        <v>878</v>
      </c>
      <c r="H46" s="29">
        <f t="shared" si="0"/>
        <v>904</v>
      </c>
      <c r="I46" s="29">
        <f t="shared" si="0"/>
        <v>931</v>
      </c>
      <c r="J46" s="1"/>
      <c r="K46" s="1"/>
    </row>
    <row r="47" spans="2:11" x14ac:dyDescent="0.35">
      <c r="B47" s="16" t="s">
        <v>111</v>
      </c>
      <c r="C47" s="120"/>
      <c r="D47" s="67">
        <f>Budget!C41</f>
        <v>4400</v>
      </c>
      <c r="E47" s="125">
        <f>D47</f>
        <v>4400</v>
      </c>
      <c r="F47" s="119">
        <f t="shared" si="1"/>
        <v>4532</v>
      </c>
      <c r="G47" s="119">
        <f t="shared" si="1"/>
        <v>4668</v>
      </c>
      <c r="H47" s="119">
        <f t="shared" si="0"/>
        <v>4808</v>
      </c>
      <c r="I47" s="119">
        <f t="shared" si="0"/>
        <v>4952</v>
      </c>
      <c r="J47" s="1"/>
      <c r="K47" s="1"/>
    </row>
    <row r="48" spans="2:11" x14ac:dyDescent="0.35">
      <c r="B48" s="16" t="s">
        <v>66</v>
      </c>
      <c r="C48" s="120"/>
      <c r="D48" s="67">
        <f>Budget!C42</f>
        <v>250</v>
      </c>
      <c r="E48" s="125">
        <f>D48</f>
        <v>250</v>
      </c>
      <c r="F48" s="29">
        <f t="shared" si="1"/>
        <v>258</v>
      </c>
      <c r="G48" s="29">
        <f t="shared" si="1"/>
        <v>266</v>
      </c>
      <c r="H48" s="29">
        <f t="shared" si="0"/>
        <v>274</v>
      </c>
      <c r="I48" s="29">
        <f t="shared" si="0"/>
        <v>282</v>
      </c>
      <c r="J48" s="1"/>
      <c r="K48" s="1"/>
    </row>
    <row r="49" spans="2:11" x14ac:dyDescent="0.35">
      <c r="B49" s="42" t="s">
        <v>68</v>
      </c>
      <c r="C49" s="114"/>
      <c r="D49" s="114"/>
      <c r="E49" s="126"/>
      <c r="F49" s="35"/>
      <c r="G49" s="35"/>
      <c r="H49" s="35"/>
      <c r="I49" s="36"/>
      <c r="J49" s="12"/>
      <c r="K49" s="12"/>
    </row>
    <row r="50" spans="2:11" x14ac:dyDescent="0.35">
      <c r="B50" s="16" t="s">
        <v>48</v>
      </c>
      <c r="C50" s="47">
        <f>Budget!B44</f>
        <v>1</v>
      </c>
      <c r="D50" s="47">
        <f>Budget!C44</f>
        <v>750</v>
      </c>
      <c r="E50" s="127">
        <v>750</v>
      </c>
      <c r="F50" s="29">
        <f>ROUND(E50+E50*0.03,0)</f>
        <v>773</v>
      </c>
      <c r="G50" s="29">
        <f>ROUND(F50+F50*0.03,0)</f>
        <v>796</v>
      </c>
      <c r="H50" s="29">
        <f t="shared" si="0"/>
        <v>820</v>
      </c>
      <c r="I50" s="29">
        <f t="shared" si="0"/>
        <v>845</v>
      </c>
      <c r="J50" s="1"/>
      <c r="K50" s="1"/>
    </row>
    <row r="51" spans="2:11" x14ac:dyDescent="0.35">
      <c r="B51" s="16" t="s">
        <v>49</v>
      </c>
      <c r="C51" s="47">
        <f>Budget!B45</f>
        <v>1</v>
      </c>
      <c r="D51" s="47">
        <f>Budget!C45</f>
        <v>250</v>
      </c>
      <c r="E51" s="127">
        <v>250</v>
      </c>
      <c r="F51" s="29">
        <v>250</v>
      </c>
      <c r="G51" s="29">
        <v>250</v>
      </c>
      <c r="H51" s="29">
        <v>250</v>
      </c>
      <c r="I51" s="29">
        <v>250</v>
      </c>
      <c r="J51" s="1"/>
      <c r="K51" s="1"/>
    </row>
    <row r="52" spans="2:11" x14ac:dyDescent="0.35">
      <c r="B52" s="16" t="s">
        <v>20</v>
      </c>
      <c r="C52" s="47">
        <f>Budget!B46</f>
        <v>1</v>
      </c>
      <c r="D52" s="47">
        <f>Budget!C46</f>
        <v>500</v>
      </c>
      <c r="E52" s="127">
        <v>500</v>
      </c>
      <c r="F52" s="29">
        <f>ROUND(E52+E52*0.03,0)</f>
        <v>515</v>
      </c>
      <c r="G52" s="29">
        <f>ROUND(F52+F52*0.03,0)</f>
        <v>530</v>
      </c>
      <c r="H52" s="29">
        <f t="shared" si="0"/>
        <v>546</v>
      </c>
      <c r="I52" s="29">
        <f t="shared" si="0"/>
        <v>562</v>
      </c>
      <c r="J52" s="1"/>
      <c r="K52" s="1"/>
    </row>
    <row r="53" spans="2:11" x14ac:dyDescent="0.35">
      <c r="B53" s="108" t="s">
        <v>104</v>
      </c>
      <c r="C53" s="130">
        <f>Budget!B47</f>
        <v>1</v>
      </c>
      <c r="D53" s="130">
        <f>Budget!C47</f>
        <v>27</v>
      </c>
      <c r="E53" s="128">
        <v>27</v>
      </c>
      <c r="F53" s="109">
        <v>27</v>
      </c>
      <c r="G53" s="109">
        <v>27</v>
      </c>
      <c r="H53" s="109">
        <v>27</v>
      </c>
      <c r="I53" s="109">
        <v>27</v>
      </c>
      <c r="J53" s="1"/>
      <c r="K53" s="1"/>
    </row>
    <row r="54" spans="2:11" ht="16" thickBot="1" x14ac:dyDescent="0.4">
      <c r="B54" s="27" t="s">
        <v>21</v>
      </c>
      <c r="C54" s="48">
        <f>Budget!B48</f>
        <v>1</v>
      </c>
      <c r="D54" s="48">
        <f>Budget!C48</f>
        <v>100</v>
      </c>
      <c r="E54" s="129">
        <v>100</v>
      </c>
      <c r="F54" s="110">
        <v>100</v>
      </c>
      <c r="G54" s="110">
        <v>100</v>
      </c>
      <c r="H54" s="110">
        <v>100</v>
      </c>
      <c r="I54" s="110">
        <v>100</v>
      </c>
      <c r="J54" s="1"/>
      <c r="K54" s="1"/>
    </row>
    <row r="55" spans="2:11" x14ac:dyDescent="0.35">
      <c r="B55" s="3" t="s">
        <v>22</v>
      </c>
      <c r="C55" s="3"/>
      <c r="D55" s="3"/>
      <c r="E55" s="10">
        <f>SUM(E40:E54)</f>
        <v>18943.5</v>
      </c>
      <c r="F55" s="10">
        <f>SUM(F40:F54)</f>
        <v>19321</v>
      </c>
      <c r="G55" s="10">
        <f>SUM(G40:G54)</f>
        <v>19709</v>
      </c>
      <c r="H55" s="10">
        <f>SUM(H40:H54)</f>
        <v>20109</v>
      </c>
      <c r="I55" s="10">
        <f>SUM(I40:I54)</f>
        <v>20521</v>
      </c>
      <c r="J55" s="1"/>
      <c r="K55" s="1"/>
    </row>
    <row r="56" spans="2:11" x14ac:dyDescent="0.35">
      <c r="B56" s="3"/>
      <c r="C56" s="3"/>
      <c r="D56" s="3"/>
      <c r="E56" s="10"/>
      <c r="F56" s="10"/>
      <c r="G56" s="10"/>
      <c r="H56" s="10"/>
      <c r="I56" s="10"/>
      <c r="J56" s="1"/>
      <c r="K56" s="1"/>
    </row>
    <row r="57" spans="2:11" x14ac:dyDescent="0.35">
      <c r="B57" s="3"/>
      <c r="C57" s="3"/>
      <c r="D57" s="3"/>
      <c r="E57" s="10"/>
      <c r="F57" s="10"/>
      <c r="G57" s="10"/>
      <c r="H57" s="10"/>
      <c r="I57" s="10"/>
      <c r="J57" s="1"/>
      <c r="K57" s="1"/>
    </row>
    <row r="58" spans="2:11" x14ac:dyDescent="0.35">
      <c r="B58" s="1"/>
      <c r="C58" s="1"/>
      <c r="D58" s="1"/>
      <c r="E58" s="8"/>
      <c r="F58" s="8"/>
      <c r="G58" s="8"/>
      <c r="H58" s="8"/>
      <c r="I58" s="8"/>
      <c r="J58" s="1"/>
      <c r="K58" s="1"/>
    </row>
    <row r="59" spans="2:11" ht="18.5" x14ac:dyDescent="0.45">
      <c r="B59" s="236" t="s">
        <v>76</v>
      </c>
      <c r="C59" s="236"/>
      <c r="D59" s="236"/>
      <c r="E59" s="236"/>
      <c r="F59" s="236"/>
      <c r="G59" s="236"/>
      <c r="H59" s="236"/>
      <c r="I59" s="236"/>
      <c r="J59" s="1"/>
      <c r="K59" s="1"/>
    </row>
    <row r="60" spans="2:11" ht="16" thickBot="1" x14ac:dyDescent="0.4">
      <c r="B60" s="37"/>
      <c r="C60" s="34" t="s">
        <v>3</v>
      </c>
      <c r="D60" s="33" t="s">
        <v>4</v>
      </c>
      <c r="E60" s="33" t="s">
        <v>5</v>
      </c>
      <c r="F60" s="33" t="s">
        <v>6</v>
      </c>
      <c r="G60" s="33" t="s">
        <v>7</v>
      </c>
      <c r="H60" s="1"/>
      <c r="I60" s="1"/>
      <c r="J60" s="1"/>
      <c r="K60" s="1"/>
    </row>
    <row r="61" spans="2:11" x14ac:dyDescent="0.35">
      <c r="B61" s="25" t="s">
        <v>23</v>
      </c>
      <c r="C61" s="155">
        <f>Budget!$B$56</f>
        <v>0</v>
      </c>
      <c r="D61" s="39">
        <f>C68</f>
        <v>11778.500000000007</v>
      </c>
      <c r="E61" s="39">
        <f>D68</f>
        <v>24412.500000000015</v>
      </c>
      <c r="F61" s="39">
        <f>E68</f>
        <v>36639.500000000022</v>
      </c>
      <c r="G61" s="39">
        <f>F68</f>
        <v>48176.500000000029</v>
      </c>
      <c r="H61" s="1"/>
      <c r="I61" s="1"/>
      <c r="J61" s="1"/>
      <c r="K61" s="1"/>
    </row>
    <row r="62" spans="2:11" x14ac:dyDescent="0.35">
      <c r="B62" s="16" t="s">
        <v>24</v>
      </c>
      <c r="C62" s="38">
        <f>F90</f>
        <v>32550.000000000007</v>
      </c>
      <c r="D62" s="38">
        <f>F90</f>
        <v>32550.000000000007</v>
      </c>
      <c r="E62" s="38">
        <f>F90</f>
        <v>32550.000000000007</v>
      </c>
      <c r="F62" s="38">
        <f>F90</f>
        <v>32550.000000000007</v>
      </c>
      <c r="G62" s="38">
        <f>F90</f>
        <v>32550.000000000007</v>
      </c>
      <c r="H62" s="1"/>
      <c r="I62" s="1"/>
      <c r="J62" s="1"/>
      <c r="K62" s="1"/>
    </row>
    <row r="63" spans="2:11" x14ac:dyDescent="0.35">
      <c r="B63" s="16" t="s">
        <v>25</v>
      </c>
      <c r="C63" s="38"/>
      <c r="D63" s="38"/>
      <c r="E63" s="38"/>
      <c r="F63" s="38"/>
      <c r="G63" s="38"/>
      <c r="H63" s="1"/>
      <c r="I63" s="1"/>
      <c r="J63" s="1"/>
      <c r="K63" s="1"/>
    </row>
    <row r="64" spans="2:11" x14ac:dyDescent="0.35">
      <c r="B64" s="16" t="s">
        <v>64</v>
      </c>
      <c r="C64" s="38">
        <f>E55</f>
        <v>18943.5</v>
      </c>
      <c r="D64" s="38">
        <f>F55</f>
        <v>19321</v>
      </c>
      <c r="E64" s="38">
        <f>G55</f>
        <v>19709</v>
      </c>
      <c r="F64" s="38">
        <f>H55</f>
        <v>20109</v>
      </c>
      <c r="G64" s="38">
        <f>I55</f>
        <v>20521</v>
      </c>
      <c r="H64" s="1"/>
      <c r="I64" s="1"/>
      <c r="J64" s="1"/>
      <c r="K64" s="1"/>
    </row>
    <row r="65" spans="2:11" x14ac:dyDescent="0.35">
      <c r="B65" s="16" t="s">
        <v>65</v>
      </c>
      <c r="C65" s="38">
        <f>G29</f>
        <v>1828</v>
      </c>
      <c r="D65" s="38">
        <f>H29</f>
        <v>595</v>
      </c>
      <c r="E65" s="38">
        <f>I29</f>
        <v>614</v>
      </c>
      <c r="F65" s="38">
        <f>J29</f>
        <v>904</v>
      </c>
      <c r="G65" s="38">
        <f>K29</f>
        <v>651</v>
      </c>
      <c r="H65" s="1"/>
      <c r="I65" s="1"/>
      <c r="J65" s="1"/>
      <c r="K65" s="1"/>
    </row>
    <row r="66" spans="2:11" x14ac:dyDescent="0.35">
      <c r="B66" s="16" t="s">
        <v>28</v>
      </c>
      <c r="C66" s="38">
        <f>C64+C65</f>
        <v>20771.5</v>
      </c>
      <c r="D66" s="38">
        <f>D64+D65</f>
        <v>19916</v>
      </c>
      <c r="E66" s="38">
        <f>E64+E65</f>
        <v>20323</v>
      </c>
      <c r="F66" s="38">
        <f>F64+F65</f>
        <v>21013</v>
      </c>
      <c r="G66" s="38">
        <f>G64+G65</f>
        <v>21172</v>
      </c>
      <c r="H66" s="1"/>
      <c r="I66" s="1"/>
      <c r="J66" s="1"/>
      <c r="K66" s="1"/>
    </row>
    <row r="67" spans="2:11" x14ac:dyDescent="0.35">
      <c r="B67" s="16" t="s">
        <v>26</v>
      </c>
      <c r="C67" s="38">
        <f>C62-C66</f>
        <v>11778.500000000007</v>
      </c>
      <c r="D67" s="38">
        <f>D62-D66</f>
        <v>12634.000000000007</v>
      </c>
      <c r="E67" s="38">
        <f>E62-E66</f>
        <v>12227.000000000007</v>
      </c>
      <c r="F67" s="38">
        <f>F62-F66</f>
        <v>11537.000000000007</v>
      </c>
      <c r="G67" s="38">
        <f>G62-G66</f>
        <v>11378.000000000007</v>
      </c>
      <c r="H67" s="1"/>
      <c r="I67" s="1"/>
      <c r="J67" s="1"/>
      <c r="K67" s="1"/>
    </row>
    <row r="68" spans="2:11" x14ac:dyDescent="0.35">
      <c r="B68" s="16" t="s">
        <v>27</v>
      </c>
      <c r="C68" s="38">
        <f>C61+C67</f>
        <v>11778.500000000007</v>
      </c>
      <c r="D68" s="38">
        <f>D61+D67</f>
        <v>24412.500000000015</v>
      </c>
      <c r="E68" s="38">
        <f>E61+E67</f>
        <v>36639.500000000022</v>
      </c>
      <c r="F68" s="38">
        <f>F61+F67</f>
        <v>48176.500000000029</v>
      </c>
      <c r="G68" s="38">
        <f>G61+G67</f>
        <v>59554.500000000036</v>
      </c>
      <c r="H68" s="1"/>
      <c r="I68" s="1"/>
      <c r="J68" s="1"/>
      <c r="K68" s="1"/>
    </row>
    <row r="69" spans="2:11" x14ac:dyDescent="0.35">
      <c r="B69" s="7"/>
      <c r="C69" s="7"/>
      <c r="D69" s="7"/>
      <c r="E69" s="40"/>
      <c r="F69" s="40"/>
      <c r="G69" s="40"/>
      <c r="H69" s="40"/>
      <c r="I69" s="40"/>
      <c r="J69" s="1"/>
      <c r="K69" s="1"/>
    </row>
    <row r="70" spans="2:11" ht="21.5" x14ac:dyDescent="0.75">
      <c r="B70" s="107"/>
      <c r="C70" s="107"/>
      <c r="D70" s="107"/>
      <c r="E70" s="244" t="s">
        <v>118</v>
      </c>
      <c r="F70" s="244"/>
      <c r="G70" s="1"/>
      <c r="H70" s="1"/>
      <c r="I70" s="1"/>
      <c r="J70" s="1"/>
      <c r="K70" s="1"/>
    </row>
    <row r="71" spans="2:11" x14ac:dyDescent="0.35">
      <c r="B71" s="107"/>
      <c r="C71" s="107"/>
      <c r="D71" s="107"/>
      <c r="E71" s="145"/>
      <c r="F71" s="145"/>
      <c r="G71" s="1"/>
      <c r="H71" s="1"/>
      <c r="I71" s="1"/>
      <c r="J71" s="1"/>
      <c r="K71" s="1"/>
    </row>
    <row r="72" spans="2:11" ht="16" thickBot="1" x14ac:dyDescent="0.4">
      <c r="B72" s="23" t="s">
        <v>0</v>
      </c>
      <c r="C72" s="34" t="s">
        <v>1</v>
      </c>
      <c r="D72" s="33" t="s">
        <v>2</v>
      </c>
      <c r="E72" s="33" t="s">
        <v>3</v>
      </c>
      <c r="F72" s="33" t="s">
        <v>4</v>
      </c>
      <c r="G72" s="33" t="s">
        <v>5</v>
      </c>
      <c r="H72" s="33" t="s">
        <v>6</v>
      </c>
      <c r="I72" s="33" t="s">
        <v>7</v>
      </c>
      <c r="J72" s="1"/>
      <c r="K72" s="1"/>
    </row>
    <row r="73" spans="2:11" x14ac:dyDescent="0.35">
      <c r="B73" s="25" t="s">
        <v>8</v>
      </c>
      <c r="C73" s="144">
        <f t="shared" ref="C73:C79" si="2">C22</f>
        <v>7</v>
      </c>
      <c r="D73" s="140">
        <v>4</v>
      </c>
      <c r="E73" s="26">
        <f>ROUND(F17*C73/D73,0)</f>
        <v>175</v>
      </c>
      <c r="F73" s="26">
        <f>ROUND((E73+E73*0.03),0)</f>
        <v>180</v>
      </c>
      <c r="G73" s="26">
        <f t="shared" ref="G73:I75" si="3">ROUND(F73+F73*0.03,0)</f>
        <v>185</v>
      </c>
      <c r="H73" s="26">
        <f t="shared" si="3"/>
        <v>191</v>
      </c>
      <c r="I73" s="26">
        <f t="shared" si="3"/>
        <v>197</v>
      </c>
      <c r="J73" s="1"/>
      <c r="K73" s="1"/>
    </row>
    <row r="74" spans="2:11" x14ac:dyDescent="0.35">
      <c r="B74" s="16" t="s">
        <v>9</v>
      </c>
      <c r="C74" s="144">
        <f t="shared" si="2"/>
        <v>6.2</v>
      </c>
      <c r="D74" s="141">
        <v>10</v>
      </c>
      <c r="E74" s="26">
        <f>ROUND(F18*C74/D74,0)</f>
        <v>404</v>
      </c>
      <c r="F74" s="26">
        <f>ROUND((E74+E74*0.03),0)</f>
        <v>416</v>
      </c>
      <c r="G74" s="26">
        <f t="shared" si="3"/>
        <v>428</v>
      </c>
      <c r="H74" s="26">
        <f t="shared" si="3"/>
        <v>441</v>
      </c>
      <c r="I74" s="26">
        <f t="shared" si="3"/>
        <v>454</v>
      </c>
      <c r="J74" s="1"/>
      <c r="K74" s="1"/>
    </row>
    <row r="75" spans="2:11" x14ac:dyDescent="0.35">
      <c r="B75" s="16" t="s">
        <v>10</v>
      </c>
      <c r="C75" s="144">
        <f t="shared" si="2"/>
        <v>250</v>
      </c>
      <c r="D75" s="141">
        <v>3</v>
      </c>
      <c r="E75" s="24">
        <f>C75/D75</f>
        <v>83.333333333333329</v>
      </c>
      <c r="F75" s="24">
        <f>ROUND(E75+E75*0.03,0)</f>
        <v>86</v>
      </c>
      <c r="G75" s="24">
        <f t="shared" si="3"/>
        <v>89</v>
      </c>
      <c r="H75" s="24">
        <f t="shared" si="3"/>
        <v>92</v>
      </c>
      <c r="I75" s="24">
        <f t="shared" si="3"/>
        <v>95</v>
      </c>
      <c r="J75" s="1"/>
      <c r="K75" s="1"/>
    </row>
    <row r="76" spans="2:11" x14ac:dyDescent="0.35">
      <c r="B76" s="16" t="s">
        <v>11</v>
      </c>
      <c r="C76" s="144">
        <f t="shared" si="2"/>
        <v>18000</v>
      </c>
      <c r="D76" s="141">
        <v>7</v>
      </c>
      <c r="E76" s="24">
        <f>Budget!D72</f>
        <v>0</v>
      </c>
      <c r="F76" s="24">
        <f>Budget!E72</f>
        <v>0</v>
      </c>
      <c r="G76" s="24">
        <f>Budget!F72</f>
        <v>0</v>
      </c>
      <c r="H76" s="24">
        <f>Budget!G72</f>
        <v>0</v>
      </c>
      <c r="I76" s="24">
        <f>Budget!H72</f>
        <v>0</v>
      </c>
      <c r="J76" s="1"/>
      <c r="K76" s="1"/>
    </row>
    <row r="77" spans="2:11" x14ac:dyDescent="0.35">
      <c r="B77" s="16" t="s">
        <v>69</v>
      </c>
      <c r="C77" s="144">
        <f t="shared" si="2"/>
        <v>28000</v>
      </c>
      <c r="D77" s="141">
        <v>10</v>
      </c>
      <c r="E77" s="24">
        <f>Budget!D73</f>
        <v>0</v>
      </c>
      <c r="F77" s="24">
        <f>Budget!E73</f>
        <v>0</v>
      </c>
      <c r="G77" s="24">
        <f>Budget!F73</f>
        <v>0</v>
      </c>
      <c r="H77" s="24">
        <f>Budget!G73</f>
        <v>0</v>
      </c>
      <c r="I77" s="24">
        <f>Budget!H73</f>
        <v>0</v>
      </c>
      <c r="J77" s="1"/>
      <c r="K77" s="1"/>
    </row>
    <row r="78" spans="2:11" x14ac:dyDescent="0.35">
      <c r="B78" s="16" t="s">
        <v>70</v>
      </c>
      <c r="C78" s="144">
        <f t="shared" si="2"/>
        <v>10000</v>
      </c>
      <c r="D78" s="141">
        <v>3</v>
      </c>
      <c r="E78" s="24">
        <f>Budget!D74</f>
        <v>0</v>
      </c>
      <c r="F78" s="24">
        <f>Budget!E74</f>
        <v>0</v>
      </c>
      <c r="G78" s="24">
        <f>Budget!F74</f>
        <v>0</v>
      </c>
      <c r="H78" s="24">
        <f>Budget!G74</f>
        <v>0</v>
      </c>
      <c r="I78" s="24">
        <f>Budget!H74</f>
        <v>0</v>
      </c>
      <c r="J78" s="1"/>
      <c r="K78" s="1"/>
    </row>
    <row r="79" spans="2:11" ht="44" thickBot="1" x14ac:dyDescent="0.4">
      <c r="B79" s="98" t="s">
        <v>71</v>
      </c>
      <c r="C79" s="129">
        <f t="shared" si="2"/>
        <v>1000</v>
      </c>
      <c r="D79" s="142">
        <v>5</v>
      </c>
      <c r="E79" s="28">
        <f>ROUND(C79/D79,0)</f>
        <v>200</v>
      </c>
      <c r="F79" s="28">
        <f>ROUND(E79+E79*0.03,0)</f>
        <v>206</v>
      </c>
      <c r="G79" s="28">
        <f>ROUND(F79+F79*0.03,0)</f>
        <v>212</v>
      </c>
      <c r="H79" s="28">
        <f>ROUND(G79+G79*0.03,0)</f>
        <v>218</v>
      </c>
      <c r="I79" s="28">
        <f>ROUND(H79+H79*0.03,0)</f>
        <v>225</v>
      </c>
      <c r="J79" s="1"/>
      <c r="K79" s="1"/>
    </row>
    <row r="80" spans="2:11" x14ac:dyDescent="0.35">
      <c r="B80" s="5" t="s">
        <v>45</v>
      </c>
      <c r="C80" s="6"/>
      <c r="D80" s="7"/>
      <c r="E80" s="15">
        <f>SUM(E73:E79)</f>
        <v>862.33333333333337</v>
      </c>
      <c r="F80" s="15">
        <f>SUM(F73:F79)</f>
        <v>888</v>
      </c>
      <c r="G80" s="15">
        <f>SUM(G73:G79)</f>
        <v>914</v>
      </c>
      <c r="H80" s="15">
        <f>SUM(H73:H79)</f>
        <v>942</v>
      </c>
      <c r="I80" s="15">
        <f>SUM(I73:I79)</f>
        <v>971</v>
      </c>
      <c r="J80" s="1"/>
      <c r="K80" s="1"/>
    </row>
    <row r="81" spans="2:11" x14ac:dyDescent="0.35">
      <c r="B81" s="7"/>
      <c r="C81" s="7"/>
      <c r="D81" s="7"/>
      <c r="E81" s="40"/>
      <c r="F81" s="40"/>
      <c r="G81" s="40"/>
      <c r="H81" s="40"/>
      <c r="I81" s="40"/>
      <c r="J81" s="1"/>
      <c r="K81" s="1"/>
    </row>
    <row r="82" spans="2:11" x14ac:dyDescent="0.35">
      <c r="B82" s="1"/>
      <c r="C82" s="1"/>
      <c r="D82" s="1"/>
      <c r="E82" s="4"/>
      <c r="F82" s="1"/>
      <c r="G82" s="1"/>
      <c r="H82" s="1"/>
      <c r="I82" s="1"/>
      <c r="J82" s="1"/>
      <c r="K82" s="1"/>
    </row>
    <row r="83" spans="2:11" ht="18.5" x14ac:dyDescent="0.45">
      <c r="B83" s="236" t="s">
        <v>75</v>
      </c>
      <c r="C83" s="236"/>
      <c r="D83" s="236"/>
      <c r="E83" s="236"/>
      <c r="F83" s="236"/>
      <c r="G83" s="236"/>
      <c r="H83" s="143"/>
      <c r="I83" s="143"/>
      <c r="J83" s="1"/>
      <c r="K83" s="1"/>
    </row>
    <row r="84" spans="2:11" ht="16" thickBot="1" x14ac:dyDescent="0.4">
      <c r="B84" s="33" t="s">
        <v>29</v>
      </c>
      <c r="C84" s="33"/>
      <c r="D84" s="34" t="s">
        <v>30</v>
      </c>
      <c r="E84" s="33" t="s">
        <v>31</v>
      </c>
      <c r="F84" s="33" t="s">
        <v>32</v>
      </c>
      <c r="G84" s="1"/>
      <c r="H84" s="1"/>
      <c r="I84" s="1"/>
      <c r="J84" s="1"/>
      <c r="K84" s="1"/>
    </row>
    <row r="85" spans="2:11" x14ac:dyDescent="0.35">
      <c r="B85" s="31" t="s">
        <v>33</v>
      </c>
      <c r="C85" s="31"/>
      <c r="D85" s="6"/>
      <c r="E85" s="7"/>
      <c r="F85" s="7"/>
      <c r="G85" s="1"/>
      <c r="H85" s="1"/>
      <c r="I85" s="1"/>
      <c r="J85" s="1"/>
      <c r="K85" s="1"/>
    </row>
    <row r="86" spans="2:11" x14ac:dyDescent="0.35">
      <c r="B86" s="7" t="s">
        <v>34</v>
      </c>
      <c r="C86" s="7"/>
      <c r="D86" s="50">
        <f>F13*D90</f>
        <v>240000.00000000006</v>
      </c>
      <c r="E86" s="51">
        <f>I7</f>
        <v>7.0000000000000007E-2</v>
      </c>
      <c r="F86" s="11">
        <f>E86*D86</f>
        <v>16800.000000000007</v>
      </c>
      <c r="G86" s="1"/>
      <c r="H86" s="1"/>
      <c r="I86" s="1"/>
      <c r="J86" s="1"/>
      <c r="K86" s="1"/>
    </row>
    <row r="87" spans="2:11" x14ac:dyDescent="0.35">
      <c r="B87" s="7" t="s">
        <v>35</v>
      </c>
      <c r="C87" s="7"/>
      <c r="D87" s="50">
        <f>F14*D90</f>
        <v>210000.00000000003</v>
      </c>
      <c r="E87" s="51">
        <f>I8</f>
        <v>0.05</v>
      </c>
      <c r="F87" s="11">
        <f>E87*D87</f>
        <v>10500.000000000002</v>
      </c>
      <c r="G87" s="1"/>
      <c r="H87" s="1"/>
      <c r="I87" s="1"/>
      <c r="J87" s="1"/>
      <c r="K87" s="1"/>
    </row>
    <row r="88" spans="2:11" x14ac:dyDescent="0.35">
      <c r="B88" s="7" t="s">
        <v>36</v>
      </c>
      <c r="C88" s="7"/>
      <c r="D88" s="50">
        <f>F15*D90</f>
        <v>150000.00000000003</v>
      </c>
      <c r="E88" s="52">
        <f>I9</f>
        <v>3.5000000000000003E-2</v>
      </c>
      <c r="F88" s="13">
        <f>E88*D88</f>
        <v>5250.0000000000018</v>
      </c>
      <c r="G88" s="1"/>
      <c r="H88" s="1"/>
      <c r="I88" s="1"/>
      <c r="J88" s="1"/>
      <c r="K88" s="1"/>
    </row>
    <row r="89" spans="2:11" x14ac:dyDescent="0.35">
      <c r="B89" s="261"/>
      <c r="C89" s="261"/>
      <c r="D89" s="261"/>
      <c r="E89" s="261"/>
      <c r="F89" s="261"/>
      <c r="G89" s="261"/>
      <c r="H89" s="1"/>
      <c r="I89" s="1"/>
      <c r="J89" s="1"/>
      <c r="K89" s="1"/>
    </row>
    <row r="90" spans="2:11" x14ac:dyDescent="0.35">
      <c r="B90" s="5" t="s">
        <v>79</v>
      </c>
      <c r="C90" s="5"/>
      <c r="D90" s="50">
        <f>D93*F11</f>
        <v>600000.00000000012</v>
      </c>
      <c r="E90" s="51"/>
      <c r="F90" s="53">
        <f>SUM(F86:F88)</f>
        <v>32550.000000000007</v>
      </c>
      <c r="G90" s="1"/>
      <c r="H90" s="1"/>
      <c r="I90" s="1"/>
      <c r="J90" s="1"/>
      <c r="K90" s="1"/>
    </row>
    <row r="91" spans="2:11" x14ac:dyDescent="0.35">
      <c r="B91" s="261"/>
      <c r="C91" s="261"/>
      <c r="D91" s="261"/>
      <c r="E91" s="261"/>
      <c r="F91" s="261"/>
      <c r="G91" s="261"/>
      <c r="H91" s="1"/>
      <c r="I91" s="1"/>
      <c r="J91" s="1"/>
      <c r="K91" s="1"/>
    </row>
    <row r="92" spans="2:11" x14ac:dyDescent="0.35">
      <c r="B92" s="31" t="s">
        <v>14</v>
      </c>
      <c r="C92" s="31"/>
      <c r="D92" s="31"/>
      <c r="E92" s="50"/>
      <c r="F92" s="51"/>
      <c r="G92" s="11"/>
      <c r="H92" s="1"/>
      <c r="I92" s="1"/>
      <c r="J92" s="1"/>
      <c r="K92" s="1"/>
    </row>
    <row r="93" spans="2:11" x14ac:dyDescent="0.35">
      <c r="B93" s="7" t="s">
        <v>82</v>
      </c>
      <c r="C93" s="7"/>
      <c r="D93" s="50">
        <f>F5</f>
        <v>1000000</v>
      </c>
      <c r="E93" s="52">
        <f>I5</f>
        <v>6.0000000000000001E-3</v>
      </c>
      <c r="F93" s="11">
        <f>E93*D93</f>
        <v>6000</v>
      </c>
      <c r="G93" s="1"/>
      <c r="H93" s="1"/>
      <c r="I93" s="1"/>
      <c r="J93" s="1"/>
      <c r="K93" s="1"/>
    </row>
    <row r="94" spans="2:11" x14ac:dyDescent="0.35">
      <c r="B94" s="7" t="s">
        <v>83</v>
      </c>
      <c r="C94" s="7"/>
      <c r="D94" s="50">
        <f>F18+F17</f>
        <v>752</v>
      </c>
      <c r="E94" s="11">
        <f>D41</f>
        <v>2</v>
      </c>
      <c r="F94" s="11">
        <f>E94*D94</f>
        <v>1504</v>
      </c>
      <c r="G94" s="1"/>
      <c r="H94" s="1"/>
      <c r="I94" s="1"/>
      <c r="J94" s="1"/>
      <c r="K94" s="1"/>
    </row>
    <row r="95" spans="2:11" x14ac:dyDescent="0.35">
      <c r="B95" s="7" t="s">
        <v>84</v>
      </c>
      <c r="C95" s="7"/>
      <c r="D95" s="50">
        <f>C42</f>
        <v>205</v>
      </c>
      <c r="E95" s="51">
        <f>D42</f>
        <v>3.5</v>
      </c>
      <c r="F95" s="11">
        <f>ROUND(E95*D95,0)</f>
        <v>718</v>
      </c>
      <c r="G95" s="1"/>
      <c r="H95" s="1"/>
      <c r="I95" s="1"/>
      <c r="J95" s="1"/>
      <c r="K95" s="1"/>
    </row>
    <row r="96" spans="2:11" x14ac:dyDescent="0.35">
      <c r="B96" s="7" t="s">
        <v>85</v>
      </c>
      <c r="C96" s="7"/>
      <c r="D96" s="50">
        <f>C43</f>
        <v>205</v>
      </c>
      <c r="E96" s="51">
        <f>D43</f>
        <v>3.5</v>
      </c>
      <c r="F96" s="11">
        <f>ROUND(E96*D96,0)</f>
        <v>718</v>
      </c>
      <c r="G96" s="1"/>
      <c r="H96" s="1"/>
      <c r="I96" s="1"/>
      <c r="J96" s="1"/>
      <c r="K96" s="1"/>
    </row>
    <row r="97" spans="2:11" x14ac:dyDescent="0.35">
      <c r="B97" s="7" t="s">
        <v>109</v>
      </c>
      <c r="C97" s="7"/>
      <c r="D97" s="50"/>
      <c r="E97" s="4"/>
      <c r="F97" s="11">
        <f>D45</f>
        <v>2800</v>
      </c>
      <c r="G97" s="1"/>
      <c r="H97" s="1"/>
      <c r="I97" s="1"/>
      <c r="J97" s="1"/>
      <c r="K97" s="1"/>
    </row>
    <row r="98" spans="2:11" x14ac:dyDescent="0.35">
      <c r="B98" s="7" t="s">
        <v>86</v>
      </c>
      <c r="C98" s="7"/>
      <c r="D98" s="50">
        <f>C46</f>
        <v>662</v>
      </c>
      <c r="E98" s="51">
        <f>D46</f>
        <v>1.25</v>
      </c>
      <c r="F98" s="11">
        <f>ROUND(E98*D98,0)</f>
        <v>828</v>
      </c>
      <c r="G98" s="1"/>
      <c r="H98" s="1"/>
      <c r="I98" s="1"/>
      <c r="J98" s="1"/>
      <c r="K98" s="1"/>
    </row>
    <row r="99" spans="2:11" x14ac:dyDescent="0.35">
      <c r="B99" s="7" t="s">
        <v>87</v>
      </c>
      <c r="C99" s="7"/>
      <c r="D99" s="50">
        <f>C44</f>
        <v>1</v>
      </c>
      <c r="E99" s="11">
        <f>D44</f>
        <v>100</v>
      </c>
      <c r="F99" s="11">
        <f>D99*E99</f>
        <v>100</v>
      </c>
      <c r="G99" s="1"/>
      <c r="H99" s="1"/>
      <c r="I99" s="1"/>
      <c r="J99" s="1"/>
      <c r="K99" s="1"/>
    </row>
    <row r="100" spans="2:11" x14ac:dyDescent="0.35">
      <c r="B100" s="7" t="s">
        <v>105</v>
      </c>
      <c r="C100" s="7"/>
      <c r="D100" s="50"/>
      <c r="E100" s="11"/>
      <c r="F100" s="11">
        <f>D47</f>
        <v>4400</v>
      </c>
      <c r="G100" s="1"/>
      <c r="H100" s="1"/>
      <c r="I100" s="1"/>
      <c r="J100" s="1"/>
      <c r="K100" s="1"/>
    </row>
    <row r="101" spans="2:11" x14ac:dyDescent="0.35">
      <c r="B101" s="7" t="s">
        <v>80</v>
      </c>
      <c r="C101" s="7"/>
      <c r="D101" s="50"/>
      <c r="E101" s="51"/>
      <c r="F101" s="13">
        <f>D48</f>
        <v>250</v>
      </c>
      <c r="G101" s="1"/>
      <c r="H101" s="1"/>
      <c r="I101" s="1"/>
      <c r="J101" s="1"/>
      <c r="K101" s="1"/>
    </row>
    <row r="102" spans="2:11" x14ac:dyDescent="0.35">
      <c r="B102" s="5" t="s">
        <v>37</v>
      </c>
      <c r="C102" s="5"/>
      <c r="D102" s="5"/>
      <c r="E102" s="50"/>
      <c r="F102" s="11">
        <f>SUM(F93:F101)</f>
        <v>17318</v>
      </c>
      <c r="G102" s="53"/>
      <c r="H102" s="1"/>
      <c r="I102" s="1"/>
      <c r="J102" s="1"/>
      <c r="K102" s="1"/>
    </row>
    <row r="103" spans="2:11" x14ac:dyDescent="0.35">
      <c r="B103" s="261"/>
      <c r="C103" s="261"/>
      <c r="D103" s="261"/>
      <c r="E103" s="261"/>
      <c r="F103" s="261"/>
      <c r="G103" s="261"/>
      <c r="H103" s="1"/>
      <c r="I103" s="1"/>
      <c r="J103" s="1"/>
      <c r="K103" s="1"/>
    </row>
    <row r="104" spans="2:11" x14ac:dyDescent="0.35">
      <c r="B104" s="31" t="s">
        <v>38</v>
      </c>
      <c r="C104" s="31"/>
      <c r="D104" s="31"/>
      <c r="E104" s="50"/>
      <c r="F104" s="51"/>
      <c r="G104" s="11"/>
      <c r="H104" s="1"/>
      <c r="I104" s="1"/>
      <c r="J104" s="1"/>
      <c r="K104" s="1"/>
    </row>
    <row r="105" spans="2:11" x14ac:dyDescent="0.35">
      <c r="B105" s="123" t="s">
        <v>19</v>
      </c>
      <c r="C105" s="7"/>
      <c r="D105" s="7"/>
      <c r="E105" s="6"/>
      <c r="F105" s="7"/>
      <c r="G105" s="7"/>
      <c r="H105" s="1"/>
      <c r="I105" s="1"/>
      <c r="J105" s="1"/>
      <c r="K105" s="1"/>
    </row>
    <row r="106" spans="2:11" x14ac:dyDescent="0.35">
      <c r="B106" s="7" t="s">
        <v>114</v>
      </c>
      <c r="C106" s="7"/>
      <c r="D106" s="50">
        <f t="shared" ref="D106:E110" si="4">C50</f>
        <v>1</v>
      </c>
      <c r="E106" s="11">
        <f t="shared" si="4"/>
        <v>750</v>
      </c>
      <c r="F106" s="11">
        <f>E106*D106</f>
        <v>750</v>
      </c>
      <c r="G106" s="1"/>
      <c r="H106" s="1"/>
      <c r="I106" s="1"/>
      <c r="J106" s="1"/>
      <c r="K106" s="1"/>
    </row>
    <row r="107" spans="2:11" x14ac:dyDescent="0.35">
      <c r="B107" s="7" t="s">
        <v>115</v>
      </c>
      <c r="C107" s="7"/>
      <c r="D107" s="50">
        <f t="shared" si="4"/>
        <v>1</v>
      </c>
      <c r="E107" s="11">
        <f t="shared" si="4"/>
        <v>250</v>
      </c>
      <c r="F107" s="11">
        <f>D107*E107</f>
        <v>250</v>
      </c>
      <c r="G107" s="1"/>
      <c r="H107" s="1"/>
      <c r="I107" s="1"/>
      <c r="J107" s="1"/>
      <c r="K107" s="1"/>
    </row>
    <row r="108" spans="2:11" x14ac:dyDescent="0.35">
      <c r="B108" s="7" t="s">
        <v>81</v>
      </c>
      <c r="C108" s="7"/>
      <c r="D108" s="50">
        <f t="shared" si="4"/>
        <v>1</v>
      </c>
      <c r="E108" s="11">
        <f t="shared" si="4"/>
        <v>500</v>
      </c>
      <c r="F108" s="11">
        <f>E108*D108</f>
        <v>500</v>
      </c>
      <c r="G108" s="1"/>
      <c r="H108" s="1"/>
      <c r="I108" s="1"/>
      <c r="J108" s="1"/>
      <c r="K108" s="1"/>
    </row>
    <row r="109" spans="2:11" x14ac:dyDescent="0.35">
      <c r="B109" s="7" t="s">
        <v>112</v>
      </c>
      <c r="C109" s="7"/>
      <c r="D109" s="50">
        <f t="shared" si="4"/>
        <v>1</v>
      </c>
      <c r="E109" s="11">
        <f t="shared" si="4"/>
        <v>27</v>
      </c>
      <c r="F109" s="11">
        <f>D109*E109</f>
        <v>27</v>
      </c>
      <c r="G109" s="1"/>
      <c r="H109" s="1"/>
      <c r="I109" s="1"/>
      <c r="J109" s="1"/>
      <c r="K109" s="1"/>
    </row>
    <row r="110" spans="2:11" x14ac:dyDescent="0.35">
      <c r="B110" s="7" t="s">
        <v>113</v>
      </c>
      <c r="C110" s="7"/>
      <c r="D110" s="50">
        <f t="shared" si="4"/>
        <v>1</v>
      </c>
      <c r="E110" s="11">
        <f t="shared" si="4"/>
        <v>100</v>
      </c>
      <c r="F110" s="11">
        <f>E110*D110</f>
        <v>100</v>
      </c>
      <c r="G110" s="1"/>
      <c r="H110" s="1"/>
      <c r="I110" s="1"/>
      <c r="J110" s="1"/>
      <c r="K110" s="1"/>
    </row>
    <row r="111" spans="2:11" x14ac:dyDescent="0.35">
      <c r="B111" s="261"/>
      <c r="C111" s="261"/>
      <c r="D111" s="261"/>
      <c r="E111" s="261"/>
      <c r="F111" s="261"/>
      <c r="G111" s="261"/>
      <c r="H111" s="1"/>
      <c r="I111" s="1"/>
      <c r="J111" s="1"/>
      <c r="K111" s="1"/>
    </row>
    <row r="112" spans="2:11" x14ac:dyDescent="0.35">
      <c r="B112" s="7" t="s">
        <v>39</v>
      </c>
      <c r="C112" s="7"/>
      <c r="D112" s="7"/>
      <c r="E112" s="6"/>
      <c r="F112" s="11">
        <f>ROUND(AVERAGE(G29:K29),0)</f>
        <v>918</v>
      </c>
      <c r="G112" s="1"/>
      <c r="H112" s="1"/>
      <c r="I112" s="1"/>
      <c r="J112" s="1"/>
      <c r="K112" s="1"/>
    </row>
    <row r="113" spans="2:11" x14ac:dyDescent="0.35">
      <c r="B113" s="7" t="s">
        <v>40</v>
      </c>
      <c r="C113" s="7"/>
      <c r="D113" s="7"/>
      <c r="E113" s="6"/>
      <c r="F113" s="13">
        <f>AVERAGE(E80:I80)</f>
        <v>915.46666666666681</v>
      </c>
      <c r="G113" s="1"/>
      <c r="H113" s="1"/>
      <c r="I113" s="1"/>
      <c r="J113" s="1"/>
      <c r="K113" s="1"/>
    </row>
    <row r="114" spans="2:11" x14ac:dyDescent="0.35">
      <c r="B114" s="5" t="s">
        <v>41</v>
      </c>
      <c r="C114" s="5"/>
      <c r="D114" s="5"/>
      <c r="E114" s="6"/>
      <c r="F114" s="53">
        <f>SUM(F106:F113)</f>
        <v>3460.4666666666667</v>
      </c>
      <c r="G114" s="1"/>
      <c r="H114" s="1"/>
      <c r="I114" s="1"/>
      <c r="J114" s="1"/>
      <c r="K114" s="1"/>
    </row>
    <row r="115" spans="2:11" x14ac:dyDescent="0.35">
      <c r="B115" s="5"/>
      <c r="C115" s="5"/>
      <c r="D115" s="5"/>
      <c r="E115" s="6"/>
      <c r="F115" s="53"/>
      <c r="G115" s="1"/>
      <c r="H115" s="1"/>
      <c r="I115" s="1"/>
      <c r="J115" s="1"/>
      <c r="K115" s="1"/>
    </row>
    <row r="116" spans="2:11" x14ac:dyDescent="0.35">
      <c r="B116" s="31" t="s">
        <v>90</v>
      </c>
      <c r="C116" s="31"/>
      <c r="D116" s="31"/>
      <c r="E116" s="6"/>
      <c r="F116" s="53">
        <f>F114+F102</f>
        <v>20778.466666666667</v>
      </c>
      <c r="G116" s="1"/>
      <c r="H116" s="1"/>
      <c r="I116" s="1"/>
      <c r="J116" s="1"/>
      <c r="K116" s="1"/>
    </row>
    <row r="117" spans="2:11" x14ac:dyDescent="0.35">
      <c r="B117" s="31"/>
      <c r="C117" s="31"/>
      <c r="D117" s="31"/>
      <c r="E117" s="6"/>
      <c r="F117" s="11"/>
      <c r="G117" s="1"/>
      <c r="H117" s="1"/>
      <c r="I117" s="1"/>
      <c r="J117" s="1"/>
      <c r="K117" s="1"/>
    </row>
    <row r="118" spans="2:11" x14ac:dyDescent="0.35">
      <c r="B118" s="31" t="s">
        <v>122</v>
      </c>
      <c r="C118" s="31"/>
      <c r="D118" s="31"/>
      <c r="E118" s="6"/>
      <c r="F118" s="11"/>
      <c r="G118" s="1"/>
      <c r="H118" s="1"/>
      <c r="I118" s="1"/>
      <c r="J118" s="1"/>
      <c r="K118" s="1"/>
    </row>
    <row r="119" spans="2:11" x14ac:dyDescent="0.35">
      <c r="B119" s="123" t="s">
        <v>123</v>
      </c>
      <c r="C119" s="31"/>
      <c r="D119" s="31"/>
      <c r="E119" s="6"/>
      <c r="F119" s="11"/>
      <c r="G119" s="1"/>
      <c r="H119" s="1"/>
      <c r="I119" s="1"/>
      <c r="J119" s="1"/>
      <c r="K119" s="1"/>
    </row>
    <row r="120" spans="2:11" x14ac:dyDescent="0.35">
      <c r="B120" s="5" t="s">
        <v>119</v>
      </c>
      <c r="C120" s="31"/>
      <c r="D120" s="31"/>
      <c r="E120" s="6"/>
      <c r="F120" s="11">
        <f>F90-(F116-F113)</f>
        <v>12687.000000000007</v>
      </c>
      <c r="G120" s="1"/>
      <c r="H120" s="1"/>
      <c r="I120" s="1"/>
      <c r="J120" s="1"/>
      <c r="K120" s="1"/>
    </row>
    <row r="121" spans="2:11" x14ac:dyDescent="0.35">
      <c r="B121" s="5" t="s">
        <v>120</v>
      </c>
      <c r="C121" s="31"/>
      <c r="D121" s="31"/>
      <c r="E121" s="6"/>
      <c r="F121" s="157">
        <f>(F116-F113)/D90</f>
        <v>3.3104999999999996E-2</v>
      </c>
      <c r="G121" s="1"/>
      <c r="H121" s="1"/>
      <c r="I121" s="1"/>
      <c r="J121" s="1"/>
      <c r="K121" s="1"/>
    </row>
    <row r="122" spans="2:11" x14ac:dyDescent="0.35">
      <c r="B122" s="5" t="s">
        <v>121</v>
      </c>
      <c r="C122" s="31"/>
      <c r="D122" s="31"/>
      <c r="E122" s="6"/>
      <c r="F122" s="55">
        <f>((F116-F113)/(E86*(D86/D90)+E87*(D87/D90)+E88*(D88/D90)))/D93</f>
        <v>0.36613824884792628</v>
      </c>
      <c r="G122" s="1"/>
      <c r="H122" s="1"/>
      <c r="I122" s="1"/>
      <c r="J122" s="1"/>
      <c r="K122" s="1"/>
    </row>
    <row r="123" spans="2:11" x14ac:dyDescent="0.35">
      <c r="B123" s="5"/>
      <c r="C123" s="31"/>
      <c r="D123" s="31"/>
      <c r="E123" s="6"/>
      <c r="F123" s="55"/>
      <c r="G123" s="1"/>
      <c r="H123" s="1"/>
      <c r="I123" s="1"/>
      <c r="J123" s="1"/>
      <c r="K123" s="1"/>
    </row>
    <row r="124" spans="2:11" x14ac:dyDescent="0.35">
      <c r="B124" s="158" t="s">
        <v>90</v>
      </c>
      <c r="C124" s="156"/>
      <c r="D124" s="156"/>
      <c r="E124" s="156"/>
      <c r="F124" s="156"/>
      <c r="G124" s="156"/>
      <c r="H124" s="1"/>
      <c r="I124" s="1"/>
      <c r="J124" s="1"/>
      <c r="K124" s="1"/>
    </row>
    <row r="125" spans="2:11" x14ac:dyDescent="0.35">
      <c r="B125" s="5" t="s">
        <v>42</v>
      </c>
      <c r="C125" s="5"/>
      <c r="D125" s="5"/>
      <c r="E125" s="6"/>
      <c r="F125" s="11">
        <f>F90-F116</f>
        <v>11771.53333333334</v>
      </c>
      <c r="G125" s="1"/>
      <c r="H125" s="1"/>
      <c r="I125" s="1"/>
      <c r="J125" s="1"/>
      <c r="K125" s="1"/>
    </row>
    <row r="126" spans="2:11" x14ac:dyDescent="0.35">
      <c r="B126" s="5" t="s">
        <v>43</v>
      </c>
      <c r="C126" s="5"/>
      <c r="D126" s="5"/>
      <c r="E126" s="6"/>
      <c r="F126" s="54">
        <f>F116/D90</f>
        <v>3.4630777777777774E-2</v>
      </c>
      <c r="G126" s="1"/>
      <c r="H126" s="1"/>
      <c r="I126" s="1"/>
      <c r="J126" s="1"/>
      <c r="K126" s="1"/>
    </row>
    <row r="127" spans="2:11" x14ac:dyDescent="0.35">
      <c r="B127" s="5" t="s">
        <v>44</v>
      </c>
      <c r="C127" s="5"/>
      <c r="D127" s="5"/>
      <c r="E127" s="6"/>
      <c r="F127" s="55">
        <f>(F116/(E86*(D86/D90)+E87*(D87/D90)+E88*(D88/D90)))/D93</f>
        <v>0.38301321044546854</v>
      </c>
      <c r="G127" s="1"/>
      <c r="H127" s="1"/>
      <c r="I127" s="1"/>
      <c r="J127" s="1"/>
      <c r="K127" s="1"/>
    </row>
  </sheetData>
  <mergeCells count="23">
    <mergeCell ref="D5:E5"/>
    <mergeCell ref="D12:F12"/>
    <mergeCell ref="D13:E13"/>
    <mergeCell ref="B37:I37"/>
    <mergeCell ref="D14:E14"/>
    <mergeCell ref="D6:E6"/>
    <mergeCell ref="D7:E7"/>
    <mergeCell ref="D8:E8"/>
    <mergeCell ref="D9:E9"/>
    <mergeCell ref="D10:E10"/>
    <mergeCell ref="D15:E15"/>
    <mergeCell ref="D16:E16"/>
    <mergeCell ref="D17:E17"/>
    <mergeCell ref="D18:E18"/>
    <mergeCell ref="D11:E11"/>
    <mergeCell ref="B111:G111"/>
    <mergeCell ref="B20:K20"/>
    <mergeCell ref="E70:F70"/>
    <mergeCell ref="B83:G83"/>
    <mergeCell ref="B89:G89"/>
    <mergeCell ref="B91:G91"/>
    <mergeCell ref="B103:G103"/>
    <mergeCell ref="B59:I59"/>
  </mergeCells>
  <dataValidations count="4">
    <dataValidation type="decimal" operator="greaterThan" allowBlank="1" showInputMessage="1" showErrorMessage="1" sqref="I7:I9 I5 F6:F7 F9:F11">
      <formula1>0</formula1>
    </dataValidation>
    <dataValidation type="whole" operator="greaterThan" allowBlank="1" showInputMessage="1" showErrorMessage="1" sqref="C22:C28 D24:D28 E24 F53:I54 E50:E54 F5 E40:E41 F47:I47 E43:E48 D75:D79 C73:C79">
      <formula1>0</formula1>
    </dataValidation>
    <dataValidation type="whole" allowBlank="1" showInputMessage="1" showErrorMessage="1" sqref="E25:E28">
      <formula1>0</formula1>
      <formula2>1</formula2>
    </dataValidation>
    <dataValidation type="decimal" operator="greaterThanOrEqual" allowBlank="1" showInputMessage="1" showErrorMessage="1" sqref="F13:F15">
      <formula1>0</formula1>
    </dataValidation>
  </dataValidations>
  <pageMargins left="0.75" right="0.75" top="1" bottom="1" header="0.5" footer="0.5"/>
  <pageSetup orientation="portrait" horizontalDpi="4294967292" verticalDpi="429496729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27"/>
  <sheetViews>
    <sheetView topLeftCell="A61" workbookViewId="0">
      <selection activeCell="B72" sqref="B72:I80"/>
    </sheetView>
  </sheetViews>
  <sheetFormatPr defaultColWidth="11" defaultRowHeight="15.5" x14ac:dyDescent="0.35"/>
  <sheetData>
    <row r="3" spans="2:11" ht="16" thickBot="1" x14ac:dyDescent="0.4">
      <c r="B3" s="1"/>
      <c r="C3" s="1"/>
      <c r="D3" s="1"/>
      <c r="E3" s="66"/>
      <c r="F3" s="37"/>
      <c r="G3" s="7"/>
      <c r="H3" s="1"/>
      <c r="I3" s="1"/>
      <c r="J3" s="1"/>
      <c r="K3" s="1"/>
    </row>
    <row r="4" spans="2:11" x14ac:dyDescent="0.35">
      <c r="B4" s="1"/>
      <c r="C4" s="1"/>
      <c r="D4" s="18" t="s">
        <v>51</v>
      </c>
      <c r="E4" s="117"/>
      <c r="F4" s="19" t="s">
        <v>50</v>
      </c>
      <c r="G4" s="1"/>
      <c r="H4" s="18" t="s">
        <v>53</v>
      </c>
      <c r="I4" s="19" t="s">
        <v>54</v>
      </c>
      <c r="J4" s="1"/>
      <c r="K4" s="1"/>
    </row>
    <row r="5" spans="2:11" x14ac:dyDescent="0.35">
      <c r="B5" s="1"/>
      <c r="C5" s="1"/>
      <c r="D5" s="239" t="s">
        <v>73</v>
      </c>
      <c r="E5" s="240"/>
      <c r="F5" s="56">
        <f>Budget!E5</f>
        <v>1000000</v>
      </c>
      <c r="G5" s="1"/>
      <c r="H5" s="22" t="s">
        <v>46</v>
      </c>
      <c r="I5" s="62">
        <f>Budget!H5</f>
        <v>6.0000000000000001E-3</v>
      </c>
      <c r="J5" s="1"/>
      <c r="K5" s="1"/>
    </row>
    <row r="6" spans="2:11" x14ac:dyDescent="0.35">
      <c r="B6" s="1"/>
      <c r="C6" s="1"/>
      <c r="D6" s="247" t="s">
        <v>60</v>
      </c>
      <c r="E6" s="248"/>
      <c r="F6" s="57">
        <f>Budget!E6</f>
        <v>10000</v>
      </c>
      <c r="G6" s="1"/>
      <c r="H6" s="43" t="s">
        <v>47</v>
      </c>
      <c r="I6" s="21">
        <f>Budget!H6</f>
        <v>0</v>
      </c>
      <c r="J6" s="1"/>
      <c r="K6" s="1"/>
    </row>
    <row r="7" spans="2:11" x14ac:dyDescent="0.35">
      <c r="B7" s="1"/>
      <c r="C7" s="1"/>
      <c r="D7" s="239" t="s">
        <v>55</v>
      </c>
      <c r="E7" s="240"/>
      <c r="F7" s="82">
        <f>Budget!E7</f>
        <v>1150</v>
      </c>
      <c r="G7" s="1"/>
      <c r="H7" s="20" t="s">
        <v>67</v>
      </c>
      <c r="I7" s="45">
        <f>Budget!H7</f>
        <v>7.0000000000000007E-2</v>
      </c>
      <c r="J7" s="1"/>
      <c r="K7" s="1"/>
    </row>
    <row r="8" spans="2:11" x14ac:dyDescent="0.35">
      <c r="B8" s="1"/>
      <c r="C8" s="1"/>
      <c r="D8" s="239" t="s">
        <v>56</v>
      </c>
      <c r="E8" s="240"/>
      <c r="F8" s="59"/>
      <c r="G8" s="1"/>
      <c r="H8" s="20" t="s">
        <v>62</v>
      </c>
      <c r="I8" s="45">
        <f>Budget!H8</f>
        <v>0.05</v>
      </c>
      <c r="J8" s="1"/>
      <c r="K8" s="1"/>
    </row>
    <row r="9" spans="2:11" ht="16" thickBot="1" x14ac:dyDescent="0.4">
      <c r="B9" s="1"/>
      <c r="C9" s="1"/>
      <c r="D9" s="237" t="s">
        <v>57</v>
      </c>
      <c r="E9" s="238"/>
      <c r="F9" s="60">
        <f>Budget!E9</f>
        <v>0.75</v>
      </c>
      <c r="G9" s="1"/>
      <c r="H9" s="44" t="s">
        <v>63</v>
      </c>
      <c r="I9" s="46">
        <f>Budget!H9</f>
        <v>3.5000000000000003E-2</v>
      </c>
      <c r="J9" s="1"/>
      <c r="K9" s="1"/>
    </row>
    <row r="10" spans="2:11" x14ac:dyDescent="0.35">
      <c r="B10" s="1"/>
      <c r="C10" s="1"/>
      <c r="D10" s="237" t="s">
        <v>58</v>
      </c>
      <c r="E10" s="238"/>
      <c r="F10" s="60">
        <f>Budget!E10</f>
        <v>0.8</v>
      </c>
      <c r="G10" s="1"/>
      <c r="H10" s="17"/>
      <c r="I10" s="1"/>
      <c r="J10" s="1"/>
      <c r="K10" s="1"/>
    </row>
    <row r="11" spans="2:11" x14ac:dyDescent="0.35">
      <c r="B11" s="1"/>
      <c r="C11" s="1"/>
      <c r="D11" s="237" t="s">
        <v>59</v>
      </c>
      <c r="E11" s="238"/>
      <c r="F11" s="132">
        <f>F9*F10</f>
        <v>0.60000000000000009</v>
      </c>
      <c r="G11" s="1"/>
      <c r="H11" s="138"/>
      <c r="I11" s="139"/>
      <c r="J11" s="1"/>
      <c r="K11" s="1"/>
    </row>
    <row r="12" spans="2:11" x14ac:dyDescent="0.35">
      <c r="B12" s="1"/>
      <c r="C12" s="1"/>
      <c r="D12" s="239" t="s">
        <v>52</v>
      </c>
      <c r="E12" s="240"/>
      <c r="F12" s="241"/>
      <c r="G12" s="1"/>
      <c r="H12" s="1"/>
      <c r="I12" s="1"/>
      <c r="J12" s="1"/>
      <c r="K12" s="1"/>
    </row>
    <row r="13" spans="2:11" x14ac:dyDescent="0.35">
      <c r="B13" s="1"/>
      <c r="C13" s="1"/>
      <c r="D13" s="237" t="s">
        <v>61</v>
      </c>
      <c r="E13" s="238"/>
      <c r="F13" s="60">
        <f>'Cash Cost Sensitivities (2)'!A27</f>
        <v>0.5</v>
      </c>
      <c r="G13" s="1"/>
      <c r="H13" s="1"/>
      <c r="I13" s="1"/>
      <c r="J13" s="1"/>
      <c r="K13" s="1"/>
    </row>
    <row r="14" spans="2:11" x14ac:dyDescent="0.35">
      <c r="B14" s="1"/>
      <c r="C14" s="1"/>
      <c r="D14" s="237" t="s">
        <v>62</v>
      </c>
      <c r="E14" s="238"/>
      <c r="F14" s="60">
        <f>'Cash Cost Sensitivities (2)'!B27</f>
        <v>0.3</v>
      </c>
      <c r="G14" s="1"/>
      <c r="H14" s="1"/>
      <c r="I14" s="1"/>
      <c r="J14" s="1"/>
      <c r="K14" s="1"/>
    </row>
    <row r="15" spans="2:11" x14ac:dyDescent="0.35">
      <c r="B15" s="1"/>
      <c r="C15" s="1"/>
      <c r="D15" s="237" t="s">
        <v>63</v>
      </c>
      <c r="E15" s="238"/>
      <c r="F15" s="105">
        <f>'Cash Cost Sensitivities (2)'!C27</f>
        <v>0.2</v>
      </c>
      <c r="G15" s="1"/>
      <c r="H15" s="1"/>
      <c r="I15" s="1"/>
      <c r="J15" s="1"/>
      <c r="K15" s="1"/>
    </row>
    <row r="16" spans="2:11" x14ac:dyDescent="0.35">
      <c r="B16" s="7"/>
      <c r="C16" s="7"/>
      <c r="D16" s="242" t="s">
        <v>103</v>
      </c>
      <c r="E16" s="243"/>
      <c r="F16" s="103"/>
      <c r="G16" s="1"/>
      <c r="H16" s="1"/>
      <c r="I16" s="1"/>
      <c r="J16" s="1"/>
      <c r="K16" s="1"/>
    </row>
    <row r="17" spans="2:11" x14ac:dyDescent="0.35">
      <c r="B17" s="1"/>
      <c r="C17" s="1"/>
      <c r="D17" s="250" t="s">
        <v>57</v>
      </c>
      <c r="E17" s="251"/>
      <c r="F17" s="106">
        <f>ROUND(F5/F6,0)</f>
        <v>100</v>
      </c>
      <c r="G17" s="1"/>
      <c r="H17" s="1"/>
      <c r="I17" s="1"/>
      <c r="J17" s="1"/>
      <c r="K17" s="1"/>
    </row>
    <row r="18" spans="2:11" ht="16" thickBot="1" x14ac:dyDescent="0.4">
      <c r="B18" s="2"/>
      <c r="C18" s="2"/>
      <c r="D18" s="252" t="s">
        <v>102</v>
      </c>
      <c r="E18" s="253"/>
      <c r="F18" s="104">
        <f>ROUND(F5*F9/F7,0)</f>
        <v>652</v>
      </c>
      <c r="G18" s="1"/>
      <c r="H18" s="1"/>
      <c r="I18" s="1"/>
      <c r="J18" s="1"/>
      <c r="K18" s="1"/>
    </row>
    <row r="19" spans="2:11" x14ac:dyDescent="0.35">
      <c r="B19" s="2"/>
      <c r="C19" s="2"/>
      <c r="D19" s="2"/>
      <c r="E19" s="14"/>
      <c r="F19" s="2"/>
      <c r="G19" s="1"/>
      <c r="H19" s="1"/>
      <c r="I19" s="1"/>
      <c r="J19" s="1"/>
      <c r="K19" s="1"/>
    </row>
    <row r="20" spans="2:11" ht="18.5" x14ac:dyDescent="0.45">
      <c r="B20" s="236" t="s">
        <v>12</v>
      </c>
      <c r="C20" s="236"/>
      <c r="D20" s="236"/>
      <c r="E20" s="236"/>
      <c r="F20" s="236"/>
      <c r="G20" s="236"/>
      <c r="H20" s="236"/>
      <c r="I20" s="236"/>
      <c r="J20" s="236"/>
      <c r="K20" s="236"/>
    </row>
    <row r="21" spans="2:11" ht="16" thickBot="1" x14ac:dyDescent="0.4">
      <c r="B21" s="23" t="s">
        <v>0</v>
      </c>
      <c r="C21" s="34" t="s">
        <v>1</v>
      </c>
      <c r="D21" s="33" t="s">
        <v>2</v>
      </c>
      <c r="E21" s="33" t="s">
        <v>72</v>
      </c>
      <c r="F21" s="33" t="s">
        <v>117</v>
      </c>
      <c r="G21" s="33" t="s">
        <v>3</v>
      </c>
      <c r="H21" s="33" t="s">
        <v>4</v>
      </c>
      <c r="I21" s="33" t="s">
        <v>5</v>
      </c>
      <c r="J21" s="33" t="s">
        <v>6</v>
      </c>
      <c r="K21" s="33" t="s">
        <v>7</v>
      </c>
    </row>
    <row r="22" spans="2:11" x14ac:dyDescent="0.35">
      <c r="B22" s="25" t="s">
        <v>8</v>
      </c>
      <c r="C22" s="68">
        <f>Budget!B22</f>
        <v>7</v>
      </c>
      <c r="D22" s="140">
        <f>Budget!C22</f>
        <v>4</v>
      </c>
      <c r="E22" s="146">
        <f>Budget!D22</f>
        <v>25</v>
      </c>
      <c r="F22" s="149">
        <f>Budget!E22</f>
        <v>175</v>
      </c>
      <c r="G22" s="149">
        <f>Budget!F22</f>
        <v>175</v>
      </c>
      <c r="H22" s="149">
        <f>Budget!G22</f>
        <v>180</v>
      </c>
      <c r="I22" s="149">
        <f>Budget!H22</f>
        <v>186</v>
      </c>
      <c r="J22" s="149">
        <f>Budget!I22</f>
        <v>191</v>
      </c>
      <c r="K22" s="149">
        <f>Budget!J22</f>
        <v>197</v>
      </c>
    </row>
    <row r="23" spans="2:11" x14ac:dyDescent="0.35">
      <c r="B23" s="16" t="s">
        <v>9</v>
      </c>
      <c r="C23" s="67">
        <f>Budget!B23</f>
        <v>6.2</v>
      </c>
      <c r="D23" s="141">
        <f>Budget!C23</f>
        <v>10</v>
      </c>
      <c r="E23" s="181">
        <f>Budget!D23</f>
        <v>65</v>
      </c>
      <c r="F23" s="150">
        <f>Budget!E23</f>
        <v>404</v>
      </c>
      <c r="G23" s="150">
        <f>Budget!F23</f>
        <v>403</v>
      </c>
      <c r="H23" s="150">
        <f>Budget!G23</f>
        <v>415</v>
      </c>
      <c r="I23" s="150">
        <f>Budget!H23</f>
        <v>428</v>
      </c>
      <c r="J23" s="150">
        <f>Budget!I23</f>
        <v>440</v>
      </c>
      <c r="K23" s="150">
        <f>Budget!J23</f>
        <v>454</v>
      </c>
    </row>
    <row r="24" spans="2:11" x14ac:dyDescent="0.35">
      <c r="B24" s="16" t="s">
        <v>10</v>
      </c>
      <c r="C24" s="67">
        <f>Budget!B24</f>
        <v>250</v>
      </c>
      <c r="D24" s="141">
        <f>Budget!C24</f>
        <v>3</v>
      </c>
      <c r="E24" s="182">
        <f>Budget!D24</f>
        <v>1</v>
      </c>
      <c r="F24" s="151">
        <f>Budget!E24</f>
        <v>0</v>
      </c>
      <c r="G24" s="150">
        <f>Budget!F24</f>
        <v>250</v>
      </c>
      <c r="H24" s="150">
        <f>Budget!G24</f>
        <v>0</v>
      </c>
      <c r="I24" s="150">
        <f>Budget!H24</f>
        <v>0</v>
      </c>
      <c r="J24" s="150">
        <f>Budget!I24</f>
        <v>273</v>
      </c>
      <c r="K24" s="150">
        <f>Budget!J24</f>
        <v>0</v>
      </c>
    </row>
    <row r="25" spans="2:11" x14ac:dyDescent="0.35">
      <c r="B25" s="16" t="s">
        <v>11</v>
      </c>
      <c r="C25" s="67">
        <f>Budget!B25</f>
        <v>18000</v>
      </c>
      <c r="D25" s="141">
        <f>Budget!C25</f>
        <v>7</v>
      </c>
      <c r="E25" s="141">
        <f>Budget!D25</f>
        <v>0</v>
      </c>
      <c r="F25" s="152">
        <f>Budget!E25</f>
        <v>0</v>
      </c>
      <c r="G25" s="150">
        <f>Budget!F25</f>
        <v>0</v>
      </c>
      <c r="H25" s="150">
        <f>Budget!G25</f>
        <v>0</v>
      </c>
      <c r="I25" s="150">
        <f>Budget!H25</f>
        <v>0</v>
      </c>
      <c r="J25" s="150">
        <f>Budget!I25</f>
        <v>0</v>
      </c>
      <c r="K25" s="150">
        <f>Budget!J25</f>
        <v>0</v>
      </c>
    </row>
    <row r="26" spans="2:11" x14ac:dyDescent="0.35">
      <c r="B26" s="16" t="s">
        <v>69</v>
      </c>
      <c r="C26" s="67">
        <f>Budget!B26</f>
        <v>28000</v>
      </c>
      <c r="D26" s="141">
        <f>Budget!C26</f>
        <v>10</v>
      </c>
      <c r="E26" s="141">
        <f>Budget!D26</f>
        <v>0</v>
      </c>
      <c r="F26" s="152">
        <f>Budget!E26</f>
        <v>0</v>
      </c>
      <c r="G26" s="150">
        <f>Budget!F26</f>
        <v>0</v>
      </c>
      <c r="H26" s="150">
        <f>Budget!G26</f>
        <v>0</v>
      </c>
      <c r="I26" s="150">
        <f>Budget!H26</f>
        <v>0</v>
      </c>
      <c r="J26" s="150">
        <f>Budget!I26</f>
        <v>0</v>
      </c>
      <c r="K26" s="150">
        <f>Budget!J26</f>
        <v>0</v>
      </c>
    </row>
    <row r="27" spans="2:11" x14ac:dyDescent="0.35">
      <c r="B27" s="16" t="s">
        <v>70</v>
      </c>
      <c r="C27" s="67">
        <f>Budget!B27</f>
        <v>10000</v>
      </c>
      <c r="D27" s="141">
        <f>Budget!C27</f>
        <v>3</v>
      </c>
      <c r="E27" s="141">
        <f>Budget!D27</f>
        <v>0</v>
      </c>
      <c r="F27" s="152">
        <f>Budget!E27</f>
        <v>0</v>
      </c>
      <c r="G27" s="150">
        <f>Budget!F27</f>
        <v>0</v>
      </c>
      <c r="H27" s="150">
        <f>Budget!G27</f>
        <v>0</v>
      </c>
      <c r="I27" s="150">
        <f>Budget!H27</f>
        <v>0</v>
      </c>
      <c r="J27" s="150">
        <f>Budget!I27</f>
        <v>0</v>
      </c>
      <c r="K27" s="150">
        <f>Budget!J27</f>
        <v>0</v>
      </c>
    </row>
    <row r="28" spans="2:11" ht="44" thickBot="1" x14ac:dyDescent="0.4">
      <c r="B28" s="98" t="s">
        <v>71</v>
      </c>
      <c r="C28" s="69">
        <f>Budget!B28</f>
        <v>1000</v>
      </c>
      <c r="D28" s="142">
        <f>Budget!C28</f>
        <v>5</v>
      </c>
      <c r="E28" s="142">
        <f>Budget!D28</f>
        <v>1</v>
      </c>
      <c r="F28" s="153">
        <f>Budget!E28</f>
        <v>0</v>
      </c>
      <c r="G28" s="154">
        <f>Budget!F28</f>
        <v>1000</v>
      </c>
      <c r="H28" s="154">
        <f>Budget!G28</f>
        <v>0</v>
      </c>
      <c r="I28" s="154">
        <f>Budget!H28</f>
        <v>0</v>
      </c>
      <c r="J28" s="154">
        <f>Budget!I28</f>
        <v>0</v>
      </c>
      <c r="K28" s="154">
        <f>Budget!J28</f>
        <v>0</v>
      </c>
    </row>
    <row r="29" spans="2:11" x14ac:dyDescent="0.35">
      <c r="B29" s="5" t="s">
        <v>45</v>
      </c>
      <c r="C29" s="6"/>
      <c r="D29" s="7"/>
      <c r="E29" s="7"/>
      <c r="F29" s="15"/>
      <c r="G29" s="15">
        <f>SUM(G22:G28)</f>
        <v>1828</v>
      </c>
      <c r="H29" s="15">
        <f>SUM(H22:H28)</f>
        <v>595</v>
      </c>
      <c r="I29" s="15">
        <f>SUM(I22:I28)</f>
        <v>614</v>
      </c>
      <c r="J29" s="15">
        <f>SUM(J22:J28)</f>
        <v>904</v>
      </c>
      <c r="K29" s="15">
        <f>SUM(K22:K28)</f>
        <v>651</v>
      </c>
    </row>
    <row r="30" spans="2:11" x14ac:dyDescent="0.35">
      <c r="B30" s="1"/>
      <c r="C30" s="1"/>
      <c r="D30" s="1"/>
      <c r="E30" s="4"/>
      <c r="F30" s="1"/>
      <c r="G30" s="1"/>
      <c r="H30" s="1"/>
      <c r="I30" s="1"/>
      <c r="J30" s="1"/>
      <c r="K30" s="1"/>
    </row>
    <row r="31" spans="2:11" x14ac:dyDescent="0.35">
      <c r="B31" s="107"/>
      <c r="C31" s="107"/>
      <c r="D31" s="107"/>
      <c r="E31" s="4"/>
      <c r="F31" s="1"/>
      <c r="G31" s="1"/>
      <c r="H31" s="1"/>
      <c r="I31" s="1"/>
      <c r="J31" s="1"/>
      <c r="K31" s="1"/>
    </row>
    <row r="32" spans="2:11" x14ac:dyDescent="0.35">
      <c r="B32" s="107"/>
      <c r="C32" s="107"/>
      <c r="D32" s="107"/>
      <c r="E32" s="4"/>
      <c r="F32" s="1"/>
      <c r="G32" s="1"/>
      <c r="H32" s="1"/>
      <c r="I32" s="1"/>
      <c r="J32" s="1"/>
      <c r="K32" s="1"/>
    </row>
    <row r="33" spans="2:11" x14ac:dyDescent="0.35">
      <c r="B33" s="107"/>
      <c r="C33" s="107"/>
      <c r="D33" s="107"/>
      <c r="E33" s="4"/>
      <c r="F33" s="1"/>
      <c r="G33" s="1"/>
      <c r="H33" s="1"/>
      <c r="I33" s="1"/>
      <c r="J33" s="1"/>
      <c r="K33" s="1"/>
    </row>
    <row r="34" spans="2:11" x14ac:dyDescent="0.35">
      <c r="B34" s="107"/>
      <c r="C34" s="107"/>
      <c r="D34" s="107"/>
      <c r="E34" s="4"/>
      <c r="F34" s="1"/>
      <c r="G34" s="1"/>
      <c r="H34" s="1"/>
      <c r="I34" s="1"/>
      <c r="J34" s="1"/>
      <c r="K34" s="1"/>
    </row>
    <row r="35" spans="2:11" x14ac:dyDescent="0.35">
      <c r="B35" s="107"/>
      <c r="C35" s="107"/>
      <c r="D35" s="107"/>
      <c r="E35" s="4"/>
      <c r="F35" s="1"/>
      <c r="G35" s="1"/>
      <c r="H35" s="1"/>
      <c r="I35" s="1"/>
      <c r="J35" s="1"/>
      <c r="K35" s="1"/>
    </row>
    <row r="36" spans="2:11" x14ac:dyDescent="0.35">
      <c r="B36" s="107"/>
      <c r="C36" s="107"/>
      <c r="D36" s="107"/>
      <c r="E36" s="4"/>
      <c r="F36" s="1"/>
      <c r="G36" s="1"/>
      <c r="H36" s="1"/>
      <c r="I36" s="1"/>
      <c r="J36" s="1"/>
      <c r="K36" s="1"/>
    </row>
    <row r="37" spans="2:11" ht="18.5" x14ac:dyDescent="0.45">
      <c r="B37" s="236" t="s">
        <v>14</v>
      </c>
      <c r="C37" s="236"/>
      <c r="D37" s="236"/>
      <c r="E37" s="236"/>
      <c r="F37" s="236"/>
      <c r="G37" s="236"/>
      <c r="H37" s="236"/>
      <c r="I37" s="236"/>
      <c r="J37" s="1"/>
      <c r="K37" s="1"/>
    </row>
    <row r="38" spans="2:11" ht="44" thickBot="1" x14ac:dyDescent="0.4">
      <c r="B38" s="33" t="s">
        <v>13</v>
      </c>
      <c r="C38" s="23" t="s">
        <v>107</v>
      </c>
      <c r="D38" s="122" t="s">
        <v>110</v>
      </c>
      <c r="E38" s="34" t="s">
        <v>3</v>
      </c>
      <c r="F38" s="33" t="s">
        <v>4</v>
      </c>
      <c r="G38" s="33" t="s">
        <v>5</v>
      </c>
      <c r="H38" s="33" t="s">
        <v>6</v>
      </c>
      <c r="I38" s="33" t="s">
        <v>7</v>
      </c>
      <c r="J38" s="1"/>
      <c r="K38" s="1"/>
    </row>
    <row r="39" spans="2:11" x14ac:dyDescent="0.35">
      <c r="B39" s="41" t="s">
        <v>14</v>
      </c>
      <c r="C39" s="1"/>
      <c r="D39" s="1"/>
      <c r="E39" s="32"/>
      <c r="F39" s="9"/>
      <c r="G39" s="9"/>
      <c r="H39" s="9"/>
      <c r="I39" s="102"/>
      <c r="J39" s="1"/>
      <c r="K39" s="1"/>
    </row>
    <row r="40" spans="2:11" x14ac:dyDescent="0.35">
      <c r="B40" s="25" t="s">
        <v>15</v>
      </c>
      <c r="C40" s="115">
        <f>F5</f>
        <v>1000000</v>
      </c>
      <c r="D40" s="118">
        <f>I5</f>
        <v>6.0000000000000001E-3</v>
      </c>
      <c r="E40" s="119">
        <f>C40*D40</f>
        <v>6000</v>
      </c>
      <c r="F40" s="30">
        <v>6000</v>
      </c>
      <c r="G40" s="30">
        <v>6000</v>
      </c>
      <c r="H40" s="30">
        <v>6000</v>
      </c>
      <c r="I40" s="30">
        <v>6000</v>
      </c>
      <c r="J40" s="12"/>
      <c r="K40" s="12"/>
    </row>
    <row r="41" spans="2:11" x14ac:dyDescent="0.35">
      <c r="B41" s="16" t="s">
        <v>108</v>
      </c>
      <c r="C41" s="116">
        <f>F17+F18</f>
        <v>752</v>
      </c>
      <c r="D41" s="67">
        <f>Budget!C35</f>
        <v>2</v>
      </c>
      <c r="E41" s="125">
        <f>C41*D41</f>
        <v>1504</v>
      </c>
      <c r="F41" s="29">
        <f>ROUND(E41+E41*0.03,0)</f>
        <v>1549</v>
      </c>
      <c r="G41" s="29">
        <f>ROUND(F41+F41*0.03,0)</f>
        <v>1595</v>
      </c>
      <c r="H41" s="29">
        <f t="shared" ref="H41:I52" si="0">ROUND(G41+G41*0.03,0)</f>
        <v>1643</v>
      </c>
      <c r="I41" s="29">
        <f t="shared" si="0"/>
        <v>1692</v>
      </c>
      <c r="J41" s="1"/>
      <c r="K41" s="1"/>
    </row>
    <row r="42" spans="2:11" x14ac:dyDescent="0.35">
      <c r="B42" s="16" t="s">
        <v>16</v>
      </c>
      <c r="C42" s="131">
        <f>Budget!B36</f>
        <v>205</v>
      </c>
      <c r="D42" s="67">
        <f>Budget!C36</f>
        <v>3.5</v>
      </c>
      <c r="E42" s="125">
        <f>C42*D42</f>
        <v>717.5</v>
      </c>
      <c r="F42" s="29">
        <f t="shared" ref="F42:G48" si="1">ROUND(E42+E42*0.03,0)</f>
        <v>739</v>
      </c>
      <c r="G42" s="29">
        <f t="shared" si="1"/>
        <v>761</v>
      </c>
      <c r="H42" s="29">
        <f t="shared" si="0"/>
        <v>784</v>
      </c>
      <c r="I42" s="29">
        <f t="shared" si="0"/>
        <v>808</v>
      </c>
      <c r="J42" s="1"/>
      <c r="K42" s="1"/>
    </row>
    <row r="43" spans="2:11" x14ac:dyDescent="0.35">
      <c r="B43" s="16" t="s">
        <v>17</v>
      </c>
      <c r="C43" s="131">
        <f>Budget!B37</f>
        <v>205</v>
      </c>
      <c r="D43" s="67">
        <f>Budget!C37</f>
        <v>3.5</v>
      </c>
      <c r="E43" s="125">
        <f>C43*D43</f>
        <v>717.5</v>
      </c>
      <c r="F43" s="29">
        <f t="shared" si="1"/>
        <v>739</v>
      </c>
      <c r="G43" s="29">
        <f t="shared" si="1"/>
        <v>761</v>
      </c>
      <c r="H43" s="29">
        <f t="shared" si="0"/>
        <v>784</v>
      </c>
      <c r="I43" s="29">
        <f t="shared" si="0"/>
        <v>808</v>
      </c>
      <c r="J43" s="1"/>
      <c r="K43" s="1"/>
    </row>
    <row r="44" spans="2:11" x14ac:dyDescent="0.35">
      <c r="B44" s="16" t="s">
        <v>18</v>
      </c>
      <c r="C44" s="164">
        <f>Budget!B38</f>
        <v>1</v>
      </c>
      <c r="D44" s="67">
        <f>Budget!C38</f>
        <v>100</v>
      </c>
      <c r="E44" s="125">
        <f>C44*D44</f>
        <v>100</v>
      </c>
      <c r="F44" s="29">
        <f t="shared" si="1"/>
        <v>103</v>
      </c>
      <c r="G44" s="29">
        <f t="shared" si="1"/>
        <v>106</v>
      </c>
      <c r="H44" s="29">
        <f t="shared" si="0"/>
        <v>109</v>
      </c>
      <c r="I44" s="29">
        <f t="shared" si="0"/>
        <v>112</v>
      </c>
      <c r="J44" s="1"/>
      <c r="K44" s="1"/>
    </row>
    <row r="45" spans="2:11" x14ac:dyDescent="0.35">
      <c r="B45" s="16" t="s">
        <v>77</v>
      </c>
      <c r="C45" s="121"/>
      <c r="D45" s="67">
        <f>Budget!C39</f>
        <v>2800</v>
      </c>
      <c r="E45" s="125">
        <f>D45</f>
        <v>2800</v>
      </c>
      <c r="F45" s="29">
        <f t="shared" si="1"/>
        <v>2884</v>
      </c>
      <c r="G45" s="29">
        <f t="shared" si="1"/>
        <v>2971</v>
      </c>
      <c r="H45" s="29">
        <f t="shared" si="0"/>
        <v>3060</v>
      </c>
      <c r="I45" s="29">
        <f t="shared" si="0"/>
        <v>3152</v>
      </c>
      <c r="J45" s="1"/>
      <c r="K45" s="1"/>
    </row>
    <row r="46" spans="2:11" x14ac:dyDescent="0.35">
      <c r="B46" s="16" t="s">
        <v>78</v>
      </c>
      <c r="C46" s="120">
        <f>ROUND(0.75*F17+0.9*F18,0)</f>
        <v>662</v>
      </c>
      <c r="D46" s="67">
        <f>Budget!C40</f>
        <v>1.25</v>
      </c>
      <c r="E46" s="125">
        <f>C46*D46</f>
        <v>827.5</v>
      </c>
      <c r="F46" s="29">
        <f t="shared" si="1"/>
        <v>852</v>
      </c>
      <c r="G46" s="29">
        <f t="shared" si="1"/>
        <v>878</v>
      </c>
      <c r="H46" s="29">
        <f t="shared" si="0"/>
        <v>904</v>
      </c>
      <c r="I46" s="29">
        <f t="shared" si="0"/>
        <v>931</v>
      </c>
      <c r="J46" s="1"/>
      <c r="K46" s="1"/>
    </row>
    <row r="47" spans="2:11" x14ac:dyDescent="0.35">
      <c r="B47" s="16" t="s">
        <v>111</v>
      </c>
      <c r="C47" s="120"/>
      <c r="D47" s="67">
        <f>Budget!C41</f>
        <v>4400</v>
      </c>
      <c r="E47" s="125">
        <f>D47</f>
        <v>4400</v>
      </c>
      <c r="F47" s="119">
        <f t="shared" si="1"/>
        <v>4532</v>
      </c>
      <c r="G47" s="119">
        <f t="shared" si="1"/>
        <v>4668</v>
      </c>
      <c r="H47" s="119">
        <f t="shared" si="0"/>
        <v>4808</v>
      </c>
      <c r="I47" s="119">
        <f t="shared" si="0"/>
        <v>4952</v>
      </c>
      <c r="J47" s="1"/>
      <c r="K47" s="1"/>
    </row>
    <row r="48" spans="2:11" x14ac:dyDescent="0.35">
      <c r="B48" s="16" t="s">
        <v>66</v>
      </c>
      <c r="C48" s="120"/>
      <c r="D48" s="67">
        <f>Budget!C42</f>
        <v>250</v>
      </c>
      <c r="E48" s="125">
        <f>D48</f>
        <v>250</v>
      </c>
      <c r="F48" s="29">
        <f t="shared" si="1"/>
        <v>258</v>
      </c>
      <c r="G48" s="29">
        <f t="shared" si="1"/>
        <v>266</v>
      </c>
      <c r="H48" s="29">
        <f t="shared" si="0"/>
        <v>274</v>
      </c>
      <c r="I48" s="29">
        <f t="shared" si="0"/>
        <v>282</v>
      </c>
      <c r="J48" s="1"/>
      <c r="K48" s="1"/>
    </row>
    <row r="49" spans="2:11" x14ac:dyDescent="0.35">
      <c r="B49" s="42" t="s">
        <v>68</v>
      </c>
      <c r="C49" s="114"/>
      <c r="D49" s="114"/>
      <c r="E49" s="126"/>
      <c r="F49" s="35"/>
      <c r="G49" s="35"/>
      <c r="H49" s="35"/>
      <c r="I49" s="36"/>
      <c r="J49" s="12"/>
      <c r="K49" s="12"/>
    </row>
    <row r="50" spans="2:11" x14ac:dyDescent="0.35">
      <c r="B50" s="16" t="s">
        <v>48</v>
      </c>
      <c r="C50" s="47">
        <f>Budget!B44</f>
        <v>1</v>
      </c>
      <c r="D50" s="47">
        <f>Budget!C44</f>
        <v>750</v>
      </c>
      <c r="E50" s="127">
        <v>750</v>
      </c>
      <c r="F50" s="29">
        <f>ROUND(E50+E50*0.03,0)</f>
        <v>773</v>
      </c>
      <c r="G50" s="29">
        <f>ROUND(F50+F50*0.03,0)</f>
        <v>796</v>
      </c>
      <c r="H50" s="29">
        <f t="shared" si="0"/>
        <v>820</v>
      </c>
      <c r="I50" s="29">
        <f t="shared" si="0"/>
        <v>845</v>
      </c>
      <c r="J50" s="1"/>
      <c r="K50" s="1"/>
    </row>
    <row r="51" spans="2:11" x14ac:dyDescent="0.35">
      <c r="B51" s="16" t="s">
        <v>49</v>
      </c>
      <c r="C51" s="47">
        <f>Budget!B45</f>
        <v>1</v>
      </c>
      <c r="D51" s="47">
        <f>Budget!C45</f>
        <v>250</v>
      </c>
      <c r="E51" s="127">
        <v>250</v>
      </c>
      <c r="F51" s="29">
        <v>250</v>
      </c>
      <c r="G51" s="29">
        <v>250</v>
      </c>
      <c r="H51" s="29">
        <v>250</v>
      </c>
      <c r="I51" s="29">
        <v>250</v>
      </c>
      <c r="J51" s="1"/>
      <c r="K51" s="1"/>
    </row>
    <row r="52" spans="2:11" x14ac:dyDescent="0.35">
      <c r="B52" s="16" t="s">
        <v>20</v>
      </c>
      <c r="C52" s="47">
        <f>Budget!B46</f>
        <v>1</v>
      </c>
      <c r="D52" s="47">
        <f>Budget!C46</f>
        <v>500</v>
      </c>
      <c r="E52" s="127">
        <v>500</v>
      </c>
      <c r="F52" s="29">
        <f>ROUND(E52+E52*0.03,0)</f>
        <v>515</v>
      </c>
      <c r="G52" s="29">
        <f>ROUND(F52+F52*0.03,0)</f>
        <v>530</v>
      </c>
      <c r="H52" s="29">
        <f t="shared" si="0"/>
        <v>546</v>
      </c>
      <c r="I52" s="29">
        <f t="shared" si="0"/>
        <v>562</v>
      </c>
      <c r="J52" s="1"/>
      <c r="K52" s="1"/>
    </row>
    <row r="53" spans="2:11" x14ac:dyDescent="0.35">
      <c r="B53" s="108" t="s">
        <v>104</v>
      </c>
      <c r="C53" s="130">
        <f>Budget!B47</f>
        <v>1</v>
      </c>
      <c r="D53" s="130">
        <f>Budget!C47</f>
        <v>27</v>
      </c>
      <c r="E53" s="128">
        <v>27</v>
      </c>
      <c r="F53" s="109">
        <v>27</v>
      </c>
      <c r="G53" s="109">
        <v>27</v>
      </c>
      <c r="H53" s="109">
        <v>27</v>
      </c>
      <c r="I53" s="109">
        <v>27</v>
      </c>
      <c r="J53" s="1"/>
      <c r="K53" s="1"/>
    </row>
    <row r="54" spans="2:11" ht="16" thickBot="1" x14ac:dyDescent="0.4">
      <c r="B54" s="27" t="s">
        <v>21</v>
      </c>
      <c r="C54" s="48">
        <f>Budget!B48</f>
        <v>1</v>
      </c>
      <c r="D54" s="48">
        <f>Budget!C48</f>
        <v>100</v>
      </c>
      <c r="E54" s="129">
        <v>100</v>
      </c>
      <c r="F54" s="110">
        <v>100</v>
      </c>
      <c r="G54" s="110">
        <v>100</v>
      </c>
      <c r="H54" s="110">
        <v>100</v>
      </c>
      <c r="I54" s="110">
        <v>100</v>
      </c>
      <c r="J54" s="1"/>
      <c r="K54" s="1"/>
    </row>
    <row r="55" spans="2:11" x14ac:dyDescent="0.35">
      <c r="B55" s="3" t="s">
        <v>22</v>
      </c>
      <c r="C55" s="3"/>
      <c r="D55" s="3"/>
      <c r="E55" s="10">
        <f>SUM(E40:E54)</f>
        <v>18943.5</v>
      </c>
      <c r="F55" s="10">
        <f>SUM(F40:F54)</f>
        <v>19321</v>
      </c>
      <c r="G55" s="10">
        <f>SUM(G40:G54)</f>
        <v>19709</v>
      </c>
      <c r="H55" s="10">
        <f>SUM(H40:H54)</f>
        <v>20109</v>
      </c>
      <c r="I55" s="10">
        <f>SUM(I40:I54)</f>
        <v>20521</v>
      </c>
      <c r="J55" s="1"/>
      <c r="K55" s="1"/>
    </row>
    <row r="56" spans="2:11" x14ac:dyDescent="0.35">
      <c r="B56" s="3"/>
      <c r="C56" s="3"/>
      <c r="D56" s="3"/>
      <c r="E56" s="10"/>
      <c r="F56" s="10"/>
      <c r="G56" s="10"/>
      <c r="H56" s="10"/>
      <c r="I56" s="10"/>
      <c r="J56" s="1"/>
      <c r="K56" s="1"/>
    </row>
    <row r="57" spans="2:11" x14ac:dyDescent="0.35">
      <c r="B57" s="3"/>
      <c r="C57" s="3"/>
      <c r="D57" s="3"/>
      <c r="E57" s="10"/>
      <c r="F57" s="10"/>
      <c r="G57" s="10"/>
      <c r="H57" s="10"/>
      <c r="I57" s="10"/>
      <c r="J57" s="1"/>
      <c r="K57" s="1"/>
    </row>
    <row r="58" spans="2:11" x14ac:dyDescent="0.35">
      <c r="B58" s="1"/>
      <c r="C58" s="1"/>
      <c r="D58" s="1"/>
      <c r="E58" s="8"/>
      <c r="F58" s="8"/>
      <c r="G58" s="8"/>
      <c r="H58" s="8"/>
      <c r="I58" s="8"/>
      <c r="J58" s="1"/>
      <c r="K58" s="1"/>
    </row>
    <row r="59" spans="2:11" ht="18.5" x14ac:dyDescent="0.45">
      <c r="B59" s="236" t="s">
        <v>76</v>
      </c>
      <c r="C59" s="236"/>
      <c r="D59" s="236"/>
      <c r="E59" s="236"/>
      <c r="F59" s="236"/>
      <c r="G59" s="236"/>
      <c r="H59" s="236"/>
      <c r="I59" s="236"/>
      <c r="J59" s="1"/>
      <c r="K59" s="1"/>
    </row>
    <row r="60" spans="2:11" ht="16" thickBot="1" x14ac:dyDescent="0.4">
      <c r="B60" s="37"/>
      <c r="C60" s="34" t="s">
        <v>3</v>
      </c>
      <c r="D60" s="33" t="s">
        <v>4</v>
      </c>
      <c r="E60" s="33" t="s">
        <v>5</v>
      </c>
      <c r="F60" s="33" t="s">
        <v>6</v>
      </c>
      <c r="G60" s="33" t="s">
        <v>7</v>
      </c>
      <c r="H60" s="1"/>
      <c r="I60" s="1"/>
      <c r="J60" s="1"/>
      <c r="K60" s="1"/>
    </row>
    <row r="61" spans="2:11" x14ac:dyDescent="0.35">
      <c r="B61" s="25" t="s">
        <v>23</v>
      </c>
      <c r="C61" s="155">
        <f>Budget!$B$56</f>
        <v>0</v>
      </c>
      <c r="D61" s="39">
        <f>C68</f>
        <v>13428.500000000007</v>
      </c>
      <c r="E61" s="39">
        <f>D68</f>
        <v>27712.500000000015</v>
      </c>
      <c r="F61" s="39">
        <f>E68</f>
        <v>41589.500000000022</v>
      </c>
      <c r="G61" s="39">
        <f>F68</f>
        <v>54776.500000000029</v>
      </c>
      <c r="H61" s="1"/>
      <c r="I61" s="1"/>
      <c r="J61" s="1"/>
      <c r="K61" s="1"/>
    </row>
    <row r="62" spans="2:11" x14ac:dyDescent="0.35">
      <c r="B62" s="16" t="s">
        <v>24</v>
      </c>
      <c r="C62" s="38">
        <f>F90</f>
        <v>34200.000000000007</v>
      </c>
      <c r="D62" s="38">
        <f>F90</f>
        <v>34200.000000000007</v>
      </c>
      <c r="E62" s="38">
        <f>F90</f>
        <v>34200.000000000007</v>
      </c>
      <c r="F62" s="38">
        <f>F90</f>
        <v>34200.000000000007</v>
      </c>
      <c r="G62" s="38">
        <f>F90</f>
        <v>34200.000000000007</v>
      </c>
      <c r="H62" s="1"/>
      <c r="I62" s="1"/>
      <c r="J62" s="1"/>
      <c r="K62" s="1"/>
    </row>
    <row r="63" spans="2:11" x14ac:dyDescent="0.35">
      <c r="B63" s="16" t="s">
        <v>25</v>
      </c>
      <c r="C63" s="38"/>
      <c r="D63" s="38"/>
      <c r="E63" s="38"/>
      <c r="F63" s="38"/>
      <c r="G63" s="38"/>
      <c r="H63" s="1"/>
      <c r="I63" s="1"/>
      <c r="J63" s="1"/>
      <c r="K63" s="1"/>
    </row>
    <row r="64" spans="2:11" x14ac:dyDescent="0.35">
      <c r="B64" s="16" t="s">
        <v>64</v>
      </c>
      <c r="C64" s="38">
        <f>E55</f>
        <v>18943.5</v>
      </c>
      <c r="D64" s="38">
        <f>F55</f>
        <v>19321</v>
      </c>
      <c r="E64" s="38">
        <f>G55</f>
        <v>19709</v>
      </c>
      <c r="F64" s="38">
        <f>H55</f>
        <v>20109</v>
      </c>
      <c r="G64" s="38">
        <f>I55</f>
        <v>20521</v>
      </c>
      <c r="H64" s="1"/>
      <c r="I64" s="1"/>
      <c r="J64" s="1"/>
      <c r="K64" s="1"/>
    </row>
    <row r="65" spans="2:11" x14ac:dyDescent="0.35">
      <c r="B65" s="16" t="s">
        <v>65</v>
      </c>
      <c r="C65" s="38">
        <f>G29</f>
        <v>1828</v>
      </c>
      <c r="D65" s="38">
        <f>H29</f>
        <v>595</v>
      </c>
      <c r="E65" s="38">
        <f>I29</f>
        <v>614</v>
      </c>
      <c r="F65" s="38">
        <f>J29</f>
        <v>904</v>
      </c>
      <c r="G65" s="38">
        <f>K29</f>
        <v>651</v>
      </c>
      <c r="H65" s="1"/>
      <c r="I65" s="1"/>
      <c r="J65" s="1"/>
      <c r="K65" s="1"/>
    </row>
    <row r="66" spans="2:11" x14ac:dyDescent="0.35">
      <c r="B66" s="16" t="s">
        <v>28</v>
      </c>
      <c r="C66" s="38">
        <f>C64+C65</f>
        <v>20771.5</v>
      </c>
      <c r="D66" s="38">
        <f>D64+D65</f>
        <v>19916</v>
      </c>
      <c r="E66" s="38">
        <f>E64+E65</f>
        <v>20323</v>
      </c>
      <c r="F66" s="38">
        <f>F64+F65</f>
        <v>21013</v>
      </c>
      <c r="G66" s="38">
        <f>G64+G65</f>
        <v>21172</v>
      </c>
      <c r="H66" s="1"/>
      <c r="I66" s="1"/>
      <c r="J66" s="1"/>
      <c r="K66" s="1"/>
    </row>
    <row r="67" spans="2:11" x14ac:dyDescent="0.35">
      <c r="B67" s="16" t="s">
        <v>26</v>
      </c>
      <c r="C67" s="38">
        <f>C62-C66</f>
        <v>13428.500000000007</v>
      </c>
      <c r="D67" s="38">
        <f>D62-D66</f>
        <v>14284.000000000007</v>
      </c>
      <c r="E67" s="38">
        <f>E62-E66</f>
        <v>13877.000000000007</v>
      </c>
      <c r="F67" s="38">
        <f>F62-F66</f>
        <v>13187.000000000007</v>
      </c>
      <c r="G67" s="38">
        <f>G62-G66</f>
        <v>13028.000000000007</v>
      </c>
      <c r="H67" s="1"/>
      <c r="I67" s="1"/>
      <c r="J67" s="1"/>
      <c r="K67" s="1"/>
    </row>
    <row r="68" spans="2:11" x14ac:dyDescent="0.35">
      <c r="B68" s="16" t="s">
        <v>27</v>
      </c>
      <c r="C68" s="38">
        <f>C61+C67</f>
        <v>13428.500000000007</v>
      </c>
      <c r="D68" s="38">
        <f>D61+D67</f>
        <v>27712.500000000015</v>
      </c>
      <c r="E68" s="38">
        <f>E61+E67</f>
        <v>41589.500000000022</v>
      </c>
      <c r="F68" s="38">
        <f>F61+F67</f>
        <v>54776.500000000029</v>
      </c>
      <c r="G68" s="38">
        <f>G61+G67</f>
        <v>67804.500000000029</v>
      </c>
      <c r="H68" s="1"/>
      <c r="I68" s="1"/>
      <c r="J68" s="1"/>
      <c r="K68" s="1"/>
    </row>
    <row r="69" spans="2:11" x14ac:dyDescent="0.35">
      <c r="B69" s="7"/>
      <c r="C69" s="7"/>
      <c r="D69" s="7"/>
      <c r="E69" s="40"/>
      <c r="F69" s="40"/>
      <c r="G69" s="40"/>
      <c r="H69" s="40"/>
      <c r="I69" s="40"/>
      <c r="J69" s="1"/>
      <c r="K69" s="1"/>
    </row>
    <row r="70" spans="2:11" ht="21.5" x14ac:dyDescent="0.75">
      <c r="B70" s="107"/>
      <c r="C70" s="107"/>
      <c r="D70" s="107"/>
      <c r="E70" s="244" t="s">
        <v>118</v>
      </c>
      <c r="F70" s="244"/>
      <c r="G70" s="1"/>
      <c r="H70" s="1"/>
      <c r="I70" s="1"/>
      <c r="J70" s="1"/>
      <c r="K70" s="1"/>
    </row>
    <row r="71" spans="2:11" x14ac:dyDescent="0.35">
      <c r="B71" s="107"/>
      <c r="C71" s="107"/>
      <c r="D71" s="107"/>
      <c r="E71" s="145"/>
      <c r="F71" s="145"/>
      <c r="G71" s="1"/>
      <c r="H71" s="1"/>
      <c r="I71" s="1"/>
      <c r="J71" s="1"/>
      <c r="K71" s="1"/>
    </row>
    <row r="72" spans="2:11" ht="16" thickBot="1" x14ac:dyDescent="0.4">
      <c r="B72" s="23" t="str">
        <f>Budget!A68</f>
        <v>Capital Item</v>
      </c>
      <c r="C72" s="34" t="str">
        <f>Budget!B68</f>
        <v>Unit Cost</v>
      </c>
      <c r="D72" s="33" t="str">
        <f>Budget!C68</f>
        <v>Years of Life</v>
      </c>
      <c r="E72" s="33" t="str">
        <f>Budget!D68</f>
        <v>Year 1</v>
      </c>
      <c r="F72" s="33" t="str">
        <f>Budget!E68</f>
        <v>Year 2</v>
      </c>
      <c r="G72" s="33" t="str">
        <f>Budget!F68</f>
        <v>Year 3</v>
      </c>
      <c r="H72" s="33" t="str">
        <f>Budget!G68</f>
        <v>Year 4</v>
      </c>
      <c r="I72" s="33" t="str">
        <f>Budget!H68</f>
        <v>Year 5</v>
      </c>
      <c r="J72" s="1"/>
      <c r="K72" s="1"/>
    </row>
    <row r="73" spans="2:11" x14ac:dyDescent="0.35">
      <c r="B73" s="25" t="str">
        <f>Budget!A69</f>
        <v>Nursery Bag</v>
      </c>
      <c r="C73" s="144">
        <f>Budget!B69</f>
        <v>7</v>
      </c>
      <c r="D73" s="140">
        <f>Budget!C69</f>
        <v>4</v>
      </c>
      <c r="E73" s="26">
        <f>Budget!D69</f>
        <v>175</v>
      </c>
      <c r="F73" s="26">
        <f>Budget!E69</f>
        <v>180</v>
      </c>
      <c r="G73" s="26">
        <f>Budget!F69</f>
        <v>185</v>
      </c>
      <c r="H73" s="26">
        <f>Budget!G69</f>
        <v>191</v>
      </c>
      <c r="I73" s="26">
        <f>Budget!H69</f>
        <v>197</v>
      </c>
      <c r="J73" s="1"/>
      <c r="K73" s="1"/>
    </row>
    <row r="74" spans="2:11" x14ac:dyDescent="0.35">
      <c r="B74" s="16" t="str">
        <f>Budget!A70</f>
        <v>Growout Bag</v>
      </c>
      <c r="C74" s="144">
        <f>Budget!B70</f>
        <v>6.2</v>
      </c>
      <c r="D74" s="141">
        <f>Budget!C70</f>
        <v>10</v>
      </c>
      <c r="E74" s="26">
        <f>Budget!D70</f>
        <v>404</v>
      </c>
      <c r="F74" s="26">
        <f>Budget!E70</f>
        <v>416</v>
      </c>
      <c r="G74" s="26">
        <f>Budget!F70</f>
        <v>428</v>
      </c>
      <c r="H74" s="26">
        <f>Budget!G70</f>
        <v>441</v>
      </c>
      <c r="I74" s="26">
        <f>Budget!H70</f>
        <v>454</v>
      </c>
      <c r="J74" s="1"/>
      <c r="K74" s="1"/>
    </row>
    <row r="75" spans="2:11" x14ac:dyDescent="0.35">
      <c r="B75" s="16" t="str">
        <f>Budget!A71</f>
        <v>Wet Suit</v>
      </c>
      <c r="C75" s="144">
        <f>Budget!B71</f>
        <v>250</v>
      </c>
      <c r="D75" s="141">
        <f>Budget!C71</f>
        <v>3</v>
      </c>
      <c r="E75" s="24">
        <f>Budget!D71</f>
        <v>83.333333333333329</v>
      </c>
      <c r="F75" s="24">
        <f>Budget!E71</f>
        <v>86</v>
      </c>
      <c r="G75" s="24">
        <f>Budget!F71</f>
        <v>89</v>
      </c>
      <c r="H75" s="24">
        <f>Budget!G71</f>
        <v>92</v>
      </c>
      <c r="I75" s="24">
        <f>Budget!H71</f>
        <v>95</v>
      </c>
      <c r="J75" s="1"/>
      <c r="K75" s="1"/>
    </row>
    <row r="76" spans="2:11" x14ac:dyDescent="0.35">
      <c r="B76" s="16" t="str">
        <f>Budget!A72</f>
        <v>Boat</v>
      </c>
      <c r="C76" s="144">
        <f>Budget!B72</f>
        <v>18000</v>
      </c>
      <c r="D76" s="141">
        <f>Budget!C72</f>
        <v>7</v>
      </c>
      <c r="E76" s="24">
        <f>Budget!D72</f>
        <v>0</v>
      </c>
      <c r="F76" s="24">
        <f>Budget!E72</f>
        <v>0</v>
      </c>
      <c r="G76" s="24">
        <f>Budget!F72</f>
        <v>0</v>
      </c>
      <c r="H76" s="24">
        <f>Budget!G72</f>
        <v>0</v>
      </c>
      <c r="I76" s="24">
        <f>Budget!H72</f>
        <v>0</v>
      </c>
      <c r="J76" s="1"/>
      <c r="K76" s="1"/>
    </row>
    <row r="77" spans="2:11" x14ac:dyDescent="0.35">
      <c r="B77" s="16" t="str">
        <f>Budget!A73</f>
        <v>Truck</v>
      </c>
      <c r="C77" s="144">
        <f>Budget!B73</f>
        <v>28000</v>
      </c>
      <c r="D77" s="141">
        <f>Budget!C73</f>
        <v>10</v>
      </c>
      <c r="E77" s="24">
        <f>Budget!D73</f>
        <v>0</v>
      </c>
      <c r="F77" s="24">
        <f>Budget!E73</f>
        <v>0</v>
      </c>
      <c r="G77" s="24">
        <f>Budget!F73</f>
        <v>0</v>
      </c>
      <c r="H77" s="24">
        <f>Budget!G73</f>
        <v>0</v>
      </c>
      <c r="I77" s="24">
        <f>Budget!H73</f>
        <v>0</v>
      </c>
      <c r="J77" s="1"/>
      <c r="K77" s="1"/>
    </row>
    <row r="78" spans="2:11" x14ac:dyDescent="0.35">
      <c r="B78" s="16" t="str">
        <f>Budget!A74</f>
        <v>Motor</v>
      </c>
      <c r="C78" s="144">
        <f>Budget!B74</f>
        <v>10000</v>
      </c>
      <c r="D78" s="141">
        <f>Budget!C74</f>
        <v>3</v>
      </c>
      <c r="E78" s="24">
        <f>Budget!D74</f>
        <v>0</v>
      </c>
      <c r="F78" s="24">
        <f>Budget!E74</f>
        <v>0</v>
      </c>
      <c r="G78" s="24">
        <f>Budget!F74</f>
        <v>0</v>
      </c>
      <c r="H78" s="24">
        <f>Budget!G74</f>
        <v>0</v>
      </c>
      <c r="I78" s="24">
        <f>Budget!H74</f>
        <v>0</v>
      </c>
      <c r="J78" s="1"/>
      <c r="K78" s="1"/>
    </row>
    <row r="79" spans="2:11" ht="44" thickBot="1" x14ac:dyDescent="0.4">
      <c r="B79" s="98" t="str">
        <f>Budget!A75</f>
        <v>Winch/Davit/Boom/Pulley/Batteries</v>
      </c>
      <c r="C79" s="129">
        <f>Budget!B75</f>
        <v>1000</v>
      </c>
      <c r="D79" s="142">
        <f>Budget!C75</f>
        <v>5</v>
      </c>
      <c r="E79" s="28">
        <f>Budget!D75</f>
        <v>200</v>
      </c>
      <c r="F79" s="28">
        <f>Budget!E75</f>
        <v>206</v>
      </c>
      <c r="G79" s="28">
        <f>Budget!F75</f>
        <v>212</v>
      </c>
      <c r="H79" s="28">
        <f>Budget!G75</f>
        <v>218</v>
      </c>
      <c r="I79" s="28">
        <f>Budget!H75</f>
        <v>225</v>
      </c>
      <c r="J79" s="1"/>
      <c r="K79" s="1"/>
    </row>
    <row r="80" spans="2:11" x14ac:dyDescent="0.35">
      <c r="B80" s="5" t="str">
        <f>Budget!A76</f>
        <v xml:space="preserve">Total Investment </v>
      </c>
      <c r="C80" s="6">
        <f>Budget!B76</f>
        <v>0</v>
      </c>
      <c r="D80" s="7">
        <f>Budget!C76</f>
        <v>0</v>
      </c>
      <c r="E80" s="15">
        <f>Budget!D76</f>
        <v>862.33333333333337</v>
      </c>
      <c r="F80" s="15">
        <f>Budget!E76</f>
        <v>888</v>
      </c>
      <c r="G80" s="15">
        <f>Budget!F76</f>
        <v>914</v>
      </c>
      <c r="H80" s="15">
        <f>Budget!G76</f>
        <v>942</v>
      </c>
      <c r="I80" s="15">
        <f>Budget!H76</f>
        <v>971</v>
      </c>
      <c r="J80" s="1"/>
      <c r="K80" s="1"/>
    </row>
    <row r="81" spans="2:11" x14ac:dyDescent="0.35">
      <c r="B81" s="7"/>
      <c r="C81" s="7"/>
      <c r="D81" s="7"/>
      <c r="E81" s="40"/>
      <c r="F81" s="40"/>
      <c r="G81" s="40"/>
      <c r="H81" s="40"/>
      <c r="I81" s="40"/>
      <c r="J81" s="1"/>
      <c r="K81" s="1"/>
    </row>
    <row r="82" spans="2:11" x14ac:dyDescent="0.35">
      <c r="B82" s="1"/>
      <c r="C82" s="1"/>
      <c r="D82" s="1"/>
      <c r="E82" s="4"/>
      <c r="F82" s="1"/>
      <c r="G82" s="1"/>
      <c r="H82" s="1"/>
      <c r="I82" s="1"/>
      <c r="J82" s="1"/>
      <c r="K82" s="1"/>
    </row>
    <row r="83" spans="2:11" ht="18.5" x14ac:dyDescent="0.45">
      <c r="B83" s="236" t="s">
        <v>75</v>
      </c>
      <c r="C83" s="236"/>
      <c r="D83" s="236"/>
      <c r="E83" s="236"/>
      <c r="F83" s="236"/>
      <c r="G83" s="236"/>
      <c r="H83" s="143"/>
      <c r="I83" s="143"/>
      <c r="J83" s="1"/>
      <c r="K83" s="1"/>
    </row>
    <row r="84" spans="2:11" ht="16" thickBot="1" x14ac:dyDescent="0.4">
      <c r="B84" s="33" t="s">
        <v>29</v>
      </c>
      <c r="C84" s="33"/>
      <c r="D84" s="34" t="s">
        <v>30</v>
      </c>
      <c r="E84" s="33" t="s">
        <v>31</v>
      </c>
      <c r="F84" s="33" t="s">
        <v>32</v>
      </c>
      <c r="G84" s="1"/>
      <c r="H84" s="1"/>
      <c r="I84" s="1"/>
      <c r="J84" s="1"/>
      <c r="K84" s="1"/>
    </row>
    <row r="85" spans="2:11" x14ac:dyDescent="0.35">
      <c r="B85" s="31" t="s">
        <v>33</v>
      </c>
      <c r="C85" s="31"/>
      <c r="D85" s="6"/>
      <c r="E85" s="7"/>
      <c r="F85" s="7"/>
      <c r="G85" s="1"/>
      <c r="H85" s="1"/>
      <c r="I85" s="1"/>
      <c r="J85" s="1"/>
      <c r="K85" s="1"/>
    </row>
    <row r="86" spans="2:11" x14ac:dyDescent="0.35">
      <c r="B86" s="7" t="s">
        <v>34</v>
      </c>
      <c r="C86" s="7"/>
      <c r="D86" s="50">
        <f>F13*D90</f>
        <v>300000.00000000006</v>
      </c>
      <c r="E86" s="51">
        <f>I7</f>
        <v>7.0000000000000007E-2</v>
      </c>
      <c r="F86" s="11">
        <f>E86*D86</f>
        <v>21000.000000000007</v>
      </c>
      <c r="G86" s="1"/>
      <c r="H86" s="1"/>
      <c r="I86" s="1"/>
      <c r="J86" s="1"/>
      <c r="K86" s="1"/>
    </row>
    <row r="87" spans="2:11" x14ac:dyDescent="0.35">
      <c r="B87" s="7" t="s">
        <v>35</v>
      </c>
      <c r="C87" s="7"/>
      <c r="D87" s="50">
        <f>F14*D90</f>
        <v>180000.00000000003</v>
      </c>
      <c r="E87" s="51">
        <f>I8</f>
        <v>0.05</v>
      </c>
      <c r="F87" s="11">
        <f>E87*D87</f>
        <v>9000.0000000000018</v>
      </c>
      <c r="G87" s="1"/>
      <c r="H87" s="1"/>
      <c r="I87" s="1"/>
      <c r="J87" s="1"/>
      <c r="K87" s="1"/>
    </row>
    <row r="88" spans="2:11" x14ac:dyDescent="0.35">
      <c r="B88" s="7" t="s">
        <v>36</v>
      </c>
      <c r="C88" s="7"/>
      <c r="D88" s="50">
        <f>F15*D90</f>
        <v>120000.00000000003</v>
      </c>
      <c r="E88" s="52">
        <f>I9</f>
        <v>3.5000000000000003E-2</v>
      </c>
      <c r="F88" s="13">
        <f>E88*D88</f>
        <v>4200.0000000000018</v>
      </c>
      <c r="G88" s="1"/>
      <c r="H88" s="1"/>
      <c r="I88" s="1"/>
      <c r="J88" s="1"/>
      <c r="K88" s="1"/>
    </row>
    <row r="89" spans="2:11" x14ac:dyDescent="0.35">
      <c r="B89" s="261"/>
      <c r="C89" s="261"/>
      <c r="D89" s="261"/>
      <c r="E89" s="261"/>
      <c r="F89" s="261"/>
      <c r="G89" s="261"/>
      <c r="H89" s="1"/>
      <c r="I89" s="1"/>
      <c r="J89" s="1"/>
      <c r="K89" s="1"/>
    </row>
    <row r="90" spans="2:11" x14ac:dyDescent="0.35">
      <c r="B90" s="5" t="s">
        <v>79</v>
      </c>
      <c r="C90" s="5"/>
      <c r="D90" s="50">
        <f>D93*F11</f>
        <v>600000.00000000012</v>
      </c>
      <c r="E90" s="51"/>
      <c r="F90" s="53">
        <f>SUM(F86:F88)</f>
        <v>34200.000000000007</v>
      </c>
      <c r="G90" s="1"/>
      <c r="H90" s="1"/>
      <c r="I90" s="1"/>
      <c r="J90" s="1"/>
      <c r="K90" s="1"/>
    </row>
    <row r="91" spans="2:11" x14ac:dyDescent="0.35">
      <c r="B91" s="261"/>
      <c r="C91" s="261"/>
      <c r="D91" s="261"/>
      <c r="E91" s="261"/>
      <c r="F91" s="261"/>
      <c r="G91" s="261"/>
      <c r="H91" s="1"/>
      <c r="I91" s="1"/>
      <c r="J91" s="1"/>
      <c r="K91" s="1"/>
    </row>
    <row r="92" spans="2:11" x14ac:dyDescent="0.35">
      <c r="B92" s="31" t="s">
        <v>14</v>
      </c>
      <c r="C92" s="31"/>
      <c r="D92" s="31"/>
      <c r="E92" s="50"/>
      <c r="F92" s="51"/>
      <c r="G92" s="11"/>
      <c r="H92" s="1"/>
      <c r="I92" s="1"/>
      <c r="J92" s="1"/>
      <c r="K92" s="1"/>
    </row>
    <row r="93" spans="2:11" x14ac:dyDescent="0.35">
      <c r="B93" s="7" t="s">
        <v>82</v>
      </c>
      <c r="C93" s="7"/>
      <c r="D93" s="50">
        <f>F5</f>
        <v>1000000</v>
      </c>
      <c r="E93" s="52">
        <f>I5</f>
        <v>6.0000000000000001E-3</v>
      </c>
      <c r="F93" s="11">
        <f>E93*D93</f>
        <v>6000</v>
      </c>
      <c r="G93" s="1"/>
      <c r="H93" s="1"/>
      <c r="I93" s="1"/>
      <c r="J93" s="1"/>
      <c r="K93" s="1"/>
    </row>
    <row r="94" spans="2:11" x14ac:dyDescent="0.35">
      <c r="B94" s="7" t="s">
        <v>83</v>
      </c>
      <c r="C94" s="7"/>
      <c r="D94" s="50">
        <f>F18+F17</f>
        <v>752</v>
      </c>
      <c r="E94" s="11">
        <f>D41</f>
        <v>2</v>
      </c>
      <c r="F94" s="11">
        <f>E94*D94</f>
        <v>1504</v>
      </c>
      <c r="G94" s="1"/>
      <c r="H94" s="1"/>
      <c r="I94" s="1"/>
      <c r="J94" s="1"/>
      <c r="K94" s="1"/>
    </row>
    <row r="95" spans="2:11" x14ac:dyDescent="0.35">
      <c r="B95" s="7" t="s">
        <v>84</v>
      </c>
      <c r="C95" s="7"/>
      <c r="D95" s="50">
        <f>C42</f>
        <v>205</v>
      </c>
      <c r="E95" s="51">
        <f>D42</f>
        <v>3.5</v>
      </c>
      <c r="F95" s="11">
        <f>ROUND(E95*D95,0)</f>
        <v>718</v>
      </c>
      <c r="G95" s="1"/>
      <c r="H95" s="1"/>
      <c r="I95" s="1"/>
      <c r="J95" s="1"/>
      <c r="K95" s="1"/>
    </row>
    <row r="96" spans="2:11" x14ac:dyDescent="0.35">
      <c r="B96" s="7" t="s">
        <v>85</v>
      </c>
      <c r="C96" s="7"/>
      <c r="D96" s="50">
        <f>C43</f>
        <v>205</v>
      </c>
      <c r="E96" s="51">
        <f>D43</f>
        <v>3.5</v>
      </c>
      <c r="F96" s="11">
        <f>ROUND(E96*D96,0)</f>
        <v>718</v>
      </c>
      <c r="G96" s="1"/>
      <c r="H96" s="1"/>
      <c r="I96" s="1"/>
      <c r="J96" s="1"/>
      <c r="K96" s="1"/>
    </row>
    <row r="97" spans="2:11" x14ac:dyDescent="0.35">
      <c r="B97" s="7" t="s">
        <v>109</v>
      </c>
      <c r="C97" s="7"/>
      <c r="D97" s="50"/>
      <c r="E97" s="4"/>
      <c r="F97" s="11">
        <f>D45</f>
        <v>2800</v>
      </c>
      <c r="G97" s="1"/>
      <c r="H97" s="1"/>
      <c r="I97" s="1"/>
      <c r="J97" s="1"/>
      <c r="K97" s="1"/>
    </row>
    <row r="98" spans="2:11" x14ac:dyDescent="0.35">
      <c r="B98" s="7" t="s">
        <v>86</v>
      </c>
      <c r="C98" s="7"/>
      <c r="D98" s="50">
        <f>C46</f>
        <v>662</v>
      </c>
      <c r="E98" s="51">
        <f>D46</f>
        <v>1.25</v>
      </c>
      <c r="F98" s="11">
        <f>ROUND(E98*D98,0)</f>
        <v>828</v>
      </c>
      <c r="G98" s="1"/>
      <c r="H98" s="1"/>
      <c r="I98" s="1"/>
      <c r="J98" s="1"/>
      <c r="K98" s="1"/>
    </row>
    <row r="99" spans="2:11" x14ac:dyDescent="0.35">
      <c r="B99" s="7" t="s">
        <v>87</v>
      </c>
      <c r="C99" s="7"/>
      <c r="D99" s="50">
        <f>C44</f>
        <v>1</v>
      </c>
      <c r="E99" s="11">
        <f>D44</f>
        <v>100</v>
      </c>
      <c r="F99" s="11">
        <f>D99*E99</f>
        <v>100</v>
      </c>
      <c r="G99" s="1"/>
      <c r="H99" s="1"/>
      <c r="I99" s="1"/>
      <c r="J99" s="1"/>
      <c r="K99" s="1"/>
    </row>
    <row r="100" spans="2:11" x14ac:dyDescent="0.35">
      <c r="B100" s="7" t="s">
        <v>105</v>
      </c>
      <c r="C100" s="7"/>
      <c r="D100" s="50"/>
      <c r="E100" s="11"/>
      <c r="F100" s="11">
        <f>D47</f>
        <v>4400</v>
      </c>
      <c r="G100" s="1"/>
      <c r="H100" s="1"/>
      <c r="I100" s="1"/>
      <c r="J100" s="1"/>
      <c r="K100" s="1"/>
    </row>
    <row r="101" spans="2:11" x14ac:dyDescent="0.35">
      <c r="B101" s="7" t="s">
        <v>80</v>
      </c>
      <c r="C101" s="7"/>
      <c r="D101" s="50"/>
      <c r="E101" s="51"/>
      <c r="F101" s="13">
        <f>D48</f>
        <v>250</v>
      </c>
      <c r="G101" s="1"/>
      <c r="H101" s="1"/>
      <c r="I101" s="1"/>
      <c r="J101" s="1"/>
      <c r="K101" s="1"/>
    </row>
    <row r="102" spans="2:11" x14ac:dyDescent="0.35">
      <c r="B102" s="5" t="s">
        <v>37</v>
      </c>
      <c r="C102" s="5"/>
      <c r="D102" s="5"/>
      <c r="E102" s="50"/>
      <c r="F102" s="11">
        <f>SUM(F93:F101)</f>
        <v>17318</v>
      </c>
      <c r="G102" s="53"/>
      <c r="H102" s="1"/>
      <c r="I102" s="1"/>
      <c r="J102" s="1"/>
      <c r="K102" s="1"/>
    </row>
    <row r="103" spans="2:11" x14ac:dyDescent="0.35">
      <c r="B103" s="261"/>
      <c r="C103" s="261"/>
      <c r="D103" s="261"/>
      <c r="E103" s="261"/>
      <c r="F103" s="261"/>
      <c r="G103" s="261"/>
      <c r="H103" s="1"/>
      <c r="I103" s="1"/>
      <c r="J103" s="1"/>
      <c r="K103" s="1"/>
    </row>
    <row r="104" spans="2:11" x14ac:dyDescent="0.35">
      <c r="B104" s="31" t="s">
        <v>38</v>
      </c>
      <c r="C104" s="31"/>
      <c r="D104" s="31"/>
      <c r="E104" s="50"/>
      <c r="F104" s="51"/>
      <c r="G104" s="11"/>
      <c r="H104" s="1"/>
      <c r="I104" s="1"/>
      <c r="J104" s="1"/>
      <c r="K104" s="1"/>
    </row>
    <row r="105" spans="2:11" x14ac:dyDescent="0.35">
      <c r="B105" s="123" t="s">
        <v>19</v>
      </c>
      <c r="C105" s="7"/>
      <c r="D105" s="7"/>
      <c r="E105" s="6"/>
      <c r="F105" s="7"/>
      <c r="G105" s="7"/>
      <c r="H105" s="1"/>
      <c r="I105" s="1"/>
      <c r="J105" s="1"/>
      <c r="K105" s="1"/>
    </row>
    <row r="106" spans="2:11" x14ac:dyDescent="0.35">
      <c r="B106" s="7" t="s">
        <v>114</v>
      </c>
      <c r="C106" s="7"/>
      <c r="D106" s="50">
        <f t="shared" ref="D106:E110" si="2">C50</f>
        <v>1</v>
      </c>
      <c r="E106" s="11">
        <f t="shared" si="2"/>
        <v>750</v>
      </c>
      <c r="F106" s="11">
        <f>E106*D106</f>
        <v>750</v>
      </c>
      <c r="G106" s="1"/>
      <c r="H106" s="1"/>
      <c r="I106" s="1"/>
      <c r="J106" s="1"/>
      <c r="K106" s="1"/>
    </row>
    <row r="107" spans="2:11" x14ac:dyDescent="0.35">
      <c r="B107" s="7" t="s">
        <v>115</v>
      </c>
      <c r="C107" s="7"/>
      <c r="D107" s="50">
        <f t="shared" si="2"/>
        <v>1</v>
      </c>
      <c r="E107" s="11">
        <f t="shared" si="2"/>
        <v>250</v>
      </c>
      <c r="F107" s="11">
        <f>D107*E107</f>
        <v>250</v>
      </c>
      <c r="G107" s="1"/>
      <c r="H107" s="1"/>
      <c r="I107" s="1"/>
      <c r="J107" s="1"/>
      <c r="K107" s="1"/>
    </row>
    <row r="108" spans="2:11" x14ac:dyDescent="0.35">
      <c r="B108" s="7" t="s">
        <v>81</v>
      </c>
      <c r="C108" s="7"/>
      <c r="D108" s="50">
        <f t="shared" si="2"/>
        <v>1</v>
      </c>
      <c r="E108" s="11">
        <f t="shared" si="2"/>
        <v>500</v>
      </c>
      <c r="F108" s="11">
        <f>E108*D108</f>
        <v>500</v>
      </c>
      <c r="G108" s="1"/>
      <c r="H108" s="1"/>
      <c r="I108" s="1"/>
      <c r="J108" s="1"/>
      <c r="K108" s="1"/>
    </row>
    <row r="109" spans="2:11" x14ac:dyDescent="0.35">
      <c r="B109" s="7" t="s">
        <v>112</v>
      </c>
      <c r="C109" s="7"/>
      <c r="D109" s="50">
        <f t="shared" si="2"/>
        <v>1</v>
      </c>
      <c r="E109" s="11">
        <f t="shared" si="2"/>
        <v>27</v>
      </c>
      <c r="F109" s="11">
        <f>D109*E109</f>
        <v>27</v>
      </c>
      <c r="G109" s="1"/>
      <c r="H109" s="1"/>
      <c r="I109" s="1"/>
      <c r="J109" s="1"/>
      <c r="K109" s="1"/>
    </row>
    <row r="110" spans="2:11" x14ac:dyDescent="0.35">
      <c r="B110" s="7" t="s">
        <v>113</v>
      </c>
      <c r="C110" s="7"/>
      <c r="D110" s="50">
        <f t="shared" si="2"/>
        <v>1</v>
      </c>
      <c r="E110" s="11">
        <f t="shared" si="2"/>
        <v>100</v>
      </c>
      <c r="F110" s="11">
        <f>E110*D110</f>
        <v>100</v>
      </c>
      <c r="G110" s="1"/>
      <c r="H110" s="1"/>
      <c r="I110" s="1"/>
      <c r="J110" s="1"/>
      <c r="K110" s="1"/>
    </row>
    <row r="111" spans="2:11" x14ac:dyDescent="0.35">
      <c r="B111" s="261"/>
      <c r="C111" s="261"/>
      <c r="D111" s="261"/>
      <c r="E111" s="261"/>
      <c r="F111" s="261"/>
      <c r="G111" s="261"/>
      <c r="H111" s="1"/>
      <c r="I111" s="1"/>
      <c r="J111" s="1"/>
      <c r="K111" s="1"/>
    </row>
    <row r="112" spans="2:11" x14ac:dyDescent="0.35">
      <c r="B112" s="7" t="s">
        <v>39</v>
      </c>
      <c r="C112" s="7"/>
      <c r="D112" s="7"/>
      <c r="E112" s="6"/>
      <c r="F112" s="11">
        <f>ROUND(AVERAGE(G29:K29),0)</f>
        <v>918</v>
      </c>
      <c r="G112" s="1"/>
      <c r="H112" s="1"/>
      <c r="I112" s="1"/>
      <c r="J112" s="1"/>
      <c r="K112" s="1"/>
    </row>
    <row r="113" spans="2:11" x14ac:dyDescent="0.35">
      <c r="B113" s="7" t="s">
        <v>40</v>
      </c>
      <c r="C113" s="7"/>
      <c r="D113" s="7"/>
      <c r="E113" s="6"/>
      <c r="F113" s="13">
        <f>AVERAGE(E80:I80)</f>
        <v>915.46666666666681</v>
      </c>
      <c r="G113" s="1"/>
      <c r="H113" s="1"/>
      <c r="I113" s="1"/>
      <c r="J113" s="1"/>
      <c r="K113" s="1"/>
    </row>
    <row r="114" spans="2:11" x14ac:dyDescent="0.35">
      <c r="B114" s="5" t="s">
        <v>41</v>
      </c>
      <c r="C114" s="5"/>
      <c r="D114" s="5"/>
      <c r="E114" s="6"/>
      <c r="F114" s="53">
        <f>SUM(F106:F113)</f>
        <v>3460.4666666666667</v>
      </c>
      <c r="G114" s="1"/>
      <c r="H114" s="1"/>
      <c r="I114" s="1"/>
      <c r="J114" s="1"/>
      <c r="K114" s="1"/>
    </row>
    <row r="115" spans="2:11" x14ac:dyDescent="0.35">
      <c r="B115" s="5"/>
      <c r="C115" s="5"/>
      <c r="D115" s="5"/>
      <c r="E115" s="6"/>
      <c r="F115" s="53"/>
      <c r="G115" s="1"/>
      <c r="H115" s="1"/>
      <c r="I115" s="1"/>
      <c r="J115" s="1"/>
      <c r="K115" s="1"/>
    </row>
    <row r="116" spans="2:11" x14ac:dyDescent="0.35">
      <c r="B116" s="31" t="s">
        <v>90</v>
      </c>
      <c r="C116" s="31"/>
      <c r="D116" s="31"/>
      <c r="E116" s="6"/>
      <c r="F116" s="53">
        <f>F114+F102</f>
        <v>20778.466666666667</v>
      </c>
      <c r="G116" s="1"/>
      <c r="H116" s="1"/>
      <c r="I116" s="1"/>
      <c r="J116" s="1"/>
      <c r="K116" s="1"/>
    </row>
    <row r="117" spans="2:11" x14ac:dyDescent="0.35">
      <c r="B117" s="31"/>
      <c r="C117" s="31"/>
      <c r="D117" s="31"/>
      <c r="E117" s="6"/>
      <c r="F117" s="11"/>
      <c r="G117" s="1"/>
      <c r="H117" s="1"/>
      <c r="I117" s="1"/>
      <c r="J117" s="1"/>
      <c r="K117" s="1"/>
    </row>
    <row r="118" spans="2:11" x14ac:dyDescent="0.35">
      <c r="B118" s="31" t="s">
        <v>122</v>
      </c>
      <c r="C118" s="31"/>
      <c r="D118" s="31"/>
      <c r="E118" s="6"/>
      <c r="F118" s="11"/>
      <c r="G118" s="1"/>
      <c r="H118" s="1"/>
      <c r="I118" s="1"/>
      <c r="J118" s="1"/>
      <c r="K118" s="1"/>
    </row>
    <row r="119" spans="2:11" x14ac:dyDescent="0.35">
      <c r="B119" s="123" t="s">
        <v>123</v>
      </c>
      <c r="C119" s="31"/>
      <c r="D119" s="31"/>
      <c r="E119" s="6"/>
      <c r="F119" s="11"/>
      <c r="G119" s="1"/>
      <c r="H119" s="1"/>
      <c r="I119" s="1"/>
      <c r="J119" s="1"/>
      <c r="K119" s="1"/>
    </row>
    <row r="120" spans="2:11" x14ac:dyDescent="0.35">
      <c r="B120" s="5" t="s">
        <v>119</v>
      </c>
      <c r="C120" s="31"/>
      <c r="D120" s="31"/>
      <c r="E120" s="6"/>
      <c r="F120" s="11">
        <f>F90-(F116-F113)</f>
        <v>14337.000000000007</v>
      </c>
      <c r="G120" s="1"/>
      <c r="H120" s="1"/>
      <c r="I120" s="1"/>
      <c r="J120" s="1"/>
      <c r="K120" s="1"/>
    </row>
    <row r="121" spans="2:11" x14ac:dyDescent="0.35">
      <c r="B121" s="5" t="s">
        <v>120</v>
      </c>
      <c r="C121" s="31"/>
      <c r="D121" s="31"/>
      <c r="E121" s="6"/>
      <c r="F121" s="157">
        <f>(F116-F113)/D90</f>
        <v>3.3104999999999996E-2</v>
      </c>
      <c r="G121" s="1"/>
      <c r="H121" s="1"/>
      <c r="I121" s="1"/>
      <c r="J121" s="1"/>
      <c r="K121" s="1"/>
    </row>
    <row r="122" spans="2:11" x14ac:dyDescent="0.35">
      <c r="B122" s="5" t="s">
        <v>121</v>
      </c>
      <c r="C122" s="31"/>
      <c r="D122" s="31"/>
      <c r="E122" s="6"/>
      <c r="F122" s="55">
        <f>((F116-F113)/(E86*(D86/D90)+E87*(D87/D90)+E88*(D88/D90)))/D93</f>
        <v>0.34847368421052627</v>
      </c>
      <c r="G122" s="1"/>
      <c r="H122" s="1"/>
      <c r="I122" s="1"/>
      <c r="J122" s="1"/>
      <c r="K122" s="1"/>
    </row>
    <row r="123" spans="2:11" x14ac:dyDescent="0.35">
      <c r="B123" s="5"/>
      <c r="C123" s="31"/>
      <c r="D123" s="31"/>
      <c r="E123" s="6"/>
      <c r="F123" s="55"/>
      <c r="G123" s="1"/>
      <c r="H123" s="1"/>
      <c r="I123" s="1"/>
      <c r="J123" s="1"/>
      <c r="K123" s="1"/>
    </row>
    <row r="124" spans="2:11" x14ac:dyDescent="0.35">
      <c r="B124" s="158" t="s">
        <v>90</v>
      </c>
      <c r="C124" s="156"/>
      <c r="D124" s="156"/>
      <c r="E124" s="156"/>
      <c r="F124" s="156"/>
      <c r="G124" s="156"/>
      <c r="H124" s="1"/>
      <c r="I124" s="1"/>
      <c r="J124" s="1"/>
      <c r="K124" s="1"/>
    </row>
    <row r="125" spans="2:11" x14ac:dyDescent="0.35">
      <c r="B125" s="5" t="s">
        <v>42</v>
      </c>
      <c r="C125" s="5"/>
      <c r="D125" s="5"/>
      <c r="E125" s="6"/>
      <c r="F125" s="11">
        <f>F90-F116</f>
        <v>13421.53333333334</v>
      </c>
      <c r="G125" s="1"/>
      <c r="H125" s="1"/>
      <c r="I125" s="1"/>
      <c r="J125" s="1"/>
      <c r="K125" s="1"/>
    </row>
    <row r="126" spans="2:11" x14ac:dyDescent="0.35">
      <c r="B126" s="5" t="s">
        <v>43</v>
      </c>
      <c r="C126" s="5"/>
      <c r="D126" s="5"/>
      <c r="E126" s="6"/>
      <c r="F126" s="54">
        <f>F116/D90</f>
        <v>3.4630777777777774E-2</v>
      </c>
      <c r="G126" s="1"/>
      <c r="H126" s="1"/>
      <c r="I126" s="1"/>
      <c r="J126" s="1"/>
      <c r="K126" s="1"/>
    </row>
    <row r="127" spans="2:11" x14ac:dyDescent="0.35">
      <c r="B127" s="5" t="s">
        <v>44</v>
      </c>
      <c r="C127" s="5"/>
      <c r="D127" s="5"/>
      <c r="E127" s="6"/>
      <c r="F127" s="55">
        <f>(F116/(E86*(D86/D90)+E87*(D87/D90)+E88*(D88/D90)))/D93</f>
        <v>0.36453450292397666</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 allowBlank="1" showInputMessage="1" showErrorMessage="1" sqref="I7:I9 I5 F6:F7 F9:F11">
      <formula1>0</formula1>
    </dataValidation>
    <dataValidation type="whole" operator="greaterThan" allowBlank="1" showInputMessage="1" showErrorMessage="1" sqref="C22:C28 D24:D28 E24 F53:I54 E50:E54 F5 E40:E41 F47:I47 E43:E48 D75:D79 C73:C79">
      <formula1>0</formula1>
    </dataValidation>
    <dataValidation type="whole" allowBlank="1" showInputMessage="1" showErrorMessage="1" sqref="E25:E28">
      <formula1>0</formula1>
      <formula2>1</formula2>
    </dataValidation>
    <dataValidation type="decimal" operator="greaterThanOrEqual" allowBlank="1" showInputMessage="1" showErrorMessage="1" sqref="F13:F15">
      <formula1>0</formula1>
    </dataValidation>
  </dataValidations>
  <pageMargins left="0.75" right="0.75" top="1" bottom="1" header="0.5" footer="0.5"/>
  <pageSetup orientation="portrait" horizontalDpi="4294967292" verticalDpi="429496729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27"/>
  <sheetViews>
    <sheetView topLeftCell="A61" workbookViewId="0">
      <selection activeCell="B72" sqref="B72:I80"/>
    </sheetView>
  </sheetViews>
  <sheetFormatPr defaultColWidth="11" defaultRowHeight="15.5" x14ac:dyDescent="0.35"/>
  <sheetData>
    <row r="3" spans="2:11" ht="16" thickBot="1" x14ac:dyDescent="0.4">
      <c r="B3" s="1"/>
      <c r="C3" s="1"/>
      <c r="D3" s="1"/>
      <c r="E3" s="66"/>
      <c r="F3" s="37"/>
      <c r="G3" s="7"/>
      <c r="H3" s="1"/>
      <c r="I3" s="1"/>
      <c r="J3" s="1"/>
      <c r="K3" s="1"/>
    </row>
    <row r="4" spans="2:11" x14ac:dyDescent="0.35">
      <c r="B4" s="1"/>
      <c r="C4" s="1"/>
      <c r="D4" s="18" t="s">
        <v>51</v>
      </c>
      <c r="E4" s="117"/>
      <c r="F4" s="19" t="s">
        <v>50</v>
      </c>
      <c r="G4" s="1"/>
      <c r="H4" s="18" t="s">
        <v>53</v>
      </c>
      <c r="I4" s="19" t="s">
        <v>54</v>
      </c>
      <c r="J4" s="1"/>
      <c r="K4" s="1"/>
    </row>
    <row r="5" spans="2:11" x14ac:dyDescent="0.35">
      <c r="B5" s="1"/>
      <c r="C5" s="1"/>
      <c r="D5" s="239" t="s">
        <v>73</v>
      </c>
      <c r="E5" s="240"/>
      <c r="F5" s="56">
        <f>Budget!E5</f>
        <v>1000000</v>
      </c>
      <c r="G5" s="1"/>
      <c r="H5" s="22" t="s">
        <v>46</v>
      </c>
      <c r="I5" s="62">
        <f>Budget!H5</f>
        <v>6.0000000000000001E-3</v>
      </c>
      <c r="J5" s="1"/>
      <c r="K5" s="1"/>
    </row>
    <row r="6" spans="2:11" x14ac:dyDescent="0.35">
      <c r="B6" s="1"/>
      <c r="C6" s="1"/>
      <c r="D6" s="247" t="s">
        <v>60</v>
      </c>
      <c r="E6" s="248"/>
      <c r="F6" s="57">
        <f>Budget!E6</f>
        <v>10000</v>
      </c>
      <c r="G6" s="1"/>
      <c r="H6" s="43" t="s">
        <v>47</v>
      </c>
      <c r="I6" s="21">
        <f>Budget!H6</f>
        <v>0</v>
      </c>
      <c r="J6" s="1"/>
      <c r="K6" s="1"/>
    </row>
    <row r="7" spans="2:11" x14ac:dyDescent="0.35">
      <c r="B7" s="1"/>
      <c r="C7" s="1"/>
      <c r="D7" s="239" t="s">
        <v>55</v>
      </c>
      <c r="E7" s="240"/>
      <c r="F7" s="82">
        <f>Budget!E7</f>
        <v>1150</v>
      </c>
      <c r="G7" s="1"/>
      <c r="H7" s="20" t="s">
        <v>67</v>
      </c>
      <c r="I7" s="45">
        <f>Budget!H7</f>
        <v>7.0000000000000007E-2</v>
      </c>
      <c r="J7" s="1"/>
      <c r="K7" s="1"/>
    </row>
    <row r="8" spans="2:11" x14ac:dyDescent="0.35">
      <c r="B8" s="1"/>
      <c r="C8" s="1"/>
      <c r="D8" s="239" t="s">
        <v>56</v>
      </c>
      <c r="E8" s="240"/>
      <c r="F8" s="59"/>
      <c r="G8" s="1"/>
      <c r="H8" s="20" t="s">
        <v>62</v>
      </c>
      <c r="I8" s="45">
        <f>Budget!H8</f>
        <v>0.05</v>
      </c>
      <c r="J8" s="1"/>
      <c r="K8" s="1"/>
    </row>
    <row r="9" spans="2:11" ht="16" thickBot="1" x14ac:dyDescent="0.4">
      <c r="B9" s="1"/>
      <c r="C9" s="1"/>
      <c r="D9" s="237" t="s">
        <v>57</v>
      </c>
      <c r="E9" s="238"/>
      <c r="F9" s="60">
        <f>Budget!E9</f>
        <v>0.75</v>
      </c>
      <c r="G9" s="1"/>
      <c r="H9" s="44" t="s">
        <v>63</v>
      </c>
      <c r="I9" s="46">
        <f>Budget!H9</f>
        <v>3.5000000000000003E-2</v>
      </c>
      <c r="J9" s="1"/>
      <c r="K9" s="1"/>
    </row>
    <row r="10" spans="2:11" x14ac:dyDescent="0.35">
      <c r="B10" s="1"/>
      <c r="C10" s="1"/>
      <c r="D10" s="237" t="s">
        <v>58</v>
      </c>
      <c r="E10" s="238"/>
      <c r="F10" s="60">
        <f>Budget!E10</f>
        <v>0.8</v>
      </c>
      <c r="G10" s="1"/>
      <c r="H10" s="17"/>
      <c r="I10" s="1"/>
      <c r="J10" s="1"/>
      <c r="K10" s="1"/>
    </row>
    <row r="11" spans="2:11" x14ac:dyDescent="0.35">
      <c r="B11" s="1"/>
      <c r="C11" s="1"/>
      <c r="D11" s="237" t="s">
        <v>59</v>
      </c>
      <c r="E11" s="238"/>
      <c r="F11" s="132">
        <f>F9*F10</f>
        <v>0.60000000000000009</v>
      </c>
      <c r="G11" s="1"/>
      <c r="H11" s="138"/>
      <c r="I11" s="139"/>
      <c r="J11" s="1"/>
      <c r="K11" s="1"/>
    </row>
    <row r="12" spans="2:11" x14ac:dyDescent="0.35">
      <c r="B12" s="1"/>
      <c r="C12" s="1"/>
      <c r="D12" s="239" t="s">
        <v>52</v>
      </c>
      <c r="E12" s="240"/>
      <c r="F12" s="241"/>
      <c r="G12" s="1"/>
      <c r="H12" s="1"/>
      <c r="I12" s="1"/>
      <c r="J12" s="1"/>
      <c r="K12" s="1"/>
    </row>
    <row r="13" spans="2:11" x14ac:dyDescent="0.35">
      <c r="B13" s="1"/>
      <c r="C13" s="1"/>
      <c r="D13" s="237" t="s">
        <v>61</v>
      </c>
      <c r="E13" s="238"/>
      <c r="F13" s="60">
        <f>'Cash Cost Sensitivities (2)'!A26</f>
        <v>0.6</v>
      </c>
      <c r="G13" s="1"/>
      <c r="H13" s="1"/>
      <c r="I13" s="1"/>
      <c r="J13" s="1"/>
      <c r="K13" s="1"/>
    </row>
    <row r="14" spans="2:11" x14ac:dyDescent="0.35">
      <c r="B14" s="1"/>
      <c r="C14" s="1"/>
      <c r="D14" s="237" t="s">
        <v>62</v>
      </c>
      <c r="E14" s="238"/>
      <c r="F14" s="60">
        <f>'Cash Cost Sensitivities (2)'!B26</f>
        <v>0.25</v>
      </c>
      <c r="G14" s="1"/>
      <c r="H14" s="1"/>
      <c r="I14" s="1"/>
      <c r="J14" s="1"/>
      <c r="K14" s="1"/>
    </row>
    <row r="15" spans="2:11" x14ac:dyDescent="0.35">
      <c r="B15" s="1"/>
      <c r="C15" s="1"/>
      <c r="D15" s="237" t="s">
        <v>63</v>
      </c>
      <c r="E15" s="238"/>
      <c r="F15" s="105">
        <f>'Cash Cost Sensitivities (2)'!C26</f>
        <v>0.15</v>
      </c>
      <c r="G15" s="1"/>
      <c r="H15" s="1"/>
      <c r="I15" s="1"/>
      <c r="J15" s="1"/>
      <c r="K15" s="1"/>
    </row>
    <row r="16" spans="2:11" x14ac:dyDescent="0.35">
      <c r="B16" s="7"/>
      <c r="C16" s="7"/>
      <c r="D16" s="242" t="s">
        <v>103</v>
      </c>
      <c r="E16" s="243"/>
      <c r="F16" s="103"/>
      <c r="G16" s="1"/>
      <c r="H16" s="1"/>
      <c r="I16" s="1"/>
      <c r="J16" s="1"/>
      <c r="K16" s="1"/>
    </row>
    <row r="17" spans="2:11" x14ac:dyDescent="0.35">
      <c r="B17" s="1"/>
      <c r="C17" s="1"/>
      <c r="D17" s="250" t="s">
        <v>57</v>
      </c>
      <c r="E17" s="251"/>
      <c r="F17" s="106">
        <f>ROUND(F5/F6,0)</f>
        <v>100</v>
      </c>
      <c r="G17" s="1"/>
      <c r="H17" s="1"/>
      <c r="I17" s="1"/>
      <c r="J17" s="1"/>
      <c r="K17" s="1"/>
    </row>
    <row r="18" spans="2:11" ht="16" thickBot="1" x14ac:dyDescent="0.4">
      <c r="B18" s="2"/>
      <c r="C18" s="2"/>
      <c r="D18" s="252" t="s">
        <v>102</v>
      </c>
      <c r="E18" s="253"/>
      <c r="F18" s="104">
        <f>ROUND(F5*F9/F7,0)</f>
        <v>652</v>
      </c>
      <c r="G18" s="1"/>
      <c r="H18" s="1"/>
      <c r="I18" s="1"/>
      <c r="J18" s="1"/>
      <c r="K18" s="1"/>
    </row>
    <row r="19" spans="2:11" x14ac:dyDescent="0.35">
      <c r="B19" s="2"/>
      <c r="C19" s="2"/>
      <c r="D19" s="2"/>
      <c r="E19" s="14"/>
      <c r="F19" s="2"/>
      <c r="G19" s="1"/>
      <c r="H19" s="1"/>
      <c r="I19" s="1"/>
      <c r="J19" s="1"/>
      <c r="K19" s="1"/>
    </row>
    <row r="20" spans="2:11" ht="18.5" x14ac:dyDescent="0.45">
      <c r="B20" s="236" t="s">
        <v>12</v>
      </c>
      <c r="C20" s="236"/>
      <c r="D20" s="236"/>
      <c r="E20" s="236"/>
      <c r="F20" s="236"/>
      <c r="G20" s="236"/>
      <c r="H20" s="236"/>
      <c r="I20" s="236"/>
      <c r="J20" s="236"/>
      <c r="K20" s="236"/>
    </row>
    <row r="21" spans="2:11" ht="16" thickBot="1" x14ac:dyDescent="0.4">
      <c r="B21" s="23" t="s">
        <v>0</v>
      </c>
      <c r="C21" s="34" t="s">
        <v>1</v>
      </c>
      <c r="D21" s="33" t="s">
        <v>2</v>
      </c>
      <c r="E21" s="33" t="s">
        <v>72</v>
      </c>
      <c r="F21" s="33" t="s">
        <v>117</v>
      </c>
      <c r="G21" s="33" t="s">
        <v>3</v>
      </c>
      <c r="H21" s="33" t="s">
        <v>4</v>
      </c>
      <c r="I21" s="33" t="s">
        <v>5</v>
      </c>
      <c r="J21" s="33" t="s">
        <v>6</v>
      </c>
      <c r="K21" s="33" t="s">
        <v>7</v>
      </c>
    </row>
    <row r="22" spans="2:11" x14ac:dyDescent="0.35">
      <c r="B22" s="25" t="s">
        <v>8</v>
      </c>
      <c r="C22" s="68">
        <f>Budget!B22</f>
        <v>7</v>
      </c>
      <c r="D22" s="140">
        <f>Budget!C22</f>
        <v>4</v>
      </c>
      <c r="E22" s="146">
        <f>Budget!D22</f>
        <v>25</v>
      </c>
      <c r="F22" s="149">
        <f>Budget!E22</f>
        <v>175</v>
      </c>
      <c r="G22" s="149">
        <f>Budget!F22</f>
        <v>175</v>
      </c>
      <c r="H22" s="149">
        <f>Budget!G22</f>
        <v>180</v>
      </c>
      <c r="I22" s="149">
        <f>Budget!H22</f>
        <v>186</v>
      </c>
      <c r="J22" s="149">
        <f>Budget!I22</f>
        <v>191</v>
      </c>
      <c r="K22" s="149">
        <f>Budget!J22</f>
        <v>197</v>
      </c>
    </row>
    <row r="23" spans="2:11" x14ac:dyDescent="0.35">
      <c r="B23" s="16" t="s">
        <v>9</v>
      </c>
      <c r="C23" s="67">
        <f>Budget!B23</f>
        <v>6.2</v>
      </c>
      <c r="D23" s="141">
        <f>Budget!C23</f>
        <v>10</v>
      </c>
      <c r="E23" s="181">
        <f>Budget!D23</f>
        <v>65</v>
      </c>
      <c r="F23" s="150">
        <f>Budget!E23</f>
        <v>404</v>
      </c>
      <c r="G23" s="150">
        <f>Budget!F23</f>
        <v>403</v>
      </c>
      <c r="H23" s="150">
        <f>Budget!G23</f>
        <v>415</v>
      </c>
      <c r="I23" s="150">
        <f>Budget!H23</f>
        <v>428</v>
      </c>
      <c r="J23" s="150">
        <f>Budget!I23</f>
        <v>440</v>
      </c>
      <c r="K23" s="150">
        <f>Budget!J23</f>
        <v>454</v>
      </c>
    </row>
    <row r="24" spans="2:11" x14ac:dyDescent="0.35">
      <c r="B24" s="16" t="s">
        <v>10</v>
      </c>
      <c r="C24" s="67">
        <f>Budget!B24</f>
        <v>250</v>
      </c>
      <c r="D24" s="141">
        <f>Budget!C24</f>
        <v>3</v>
      </c>
      <c r="E24" s="182">
        <f>Budget!D24</f>
        <v>1</v>
      </c>
      <c r="F24" s="151">
        <f>Budget!E24</f>
        <v>0</v>
      </c>
      <c r="G24" s="150">
        <f>Budget!F24</f>
        <v>250</v>
      </c>
      <c r="H24" s="150">
        <f>Budget!G24</f>
        <v>0</v>
      </c>
      <c r="I24" s="150">
        <f>Budget!H24</f>
        <v>0</v>
      </c>
      <c r="J24" s="150">
        <f>Budget!I24</f>
        <v>273</v>
      </c>
      <c r="K24" s="150">
        <f>Budget!J24</f>
        <v>0</v>
      </c>
    </row>
    <row r="25" spans="2:11" x14ac:dyDescent="0.35">
      <c r="B25" s="16" t="s">
        <v>11</v>
      </c>
      <c r="C25" s="67">
        <f>Budget!B25</f>
        <v>18000</v>
      </c>
      <c r="D25" s="141">
        <f>Budget!C25</f>
        <v>7</v>
      </c>
      <c r="E25" s="141">
        <f>Budget!D25</f>
        <v>0</v>
      </c>
      <c r="F25" s="152">
        <f>Budget!E25</f>
        <v>0</v>
      </c>
      <c r="G25" s="150">
        <f>Budget!F25</f>
        <v>0</v>
      </c>
      <c r="H25" s="150">
        <f>Budget!G25</f>
        <v>0</v>
      </c>
      <c r="I25" s="150">
        <f>Budget!H25</f>
        <v>0</v>
      </c>
      <c r="J25" s="150">
        <f>Budget!I25</f>
        <v>0</v>
      </c>
      <c r="K25" s="150">
        <f>Budget!J25</f>
        <v>0</v>
      </c>
    </row>
    <row r="26" spans="2:11" x14ac:dyDescent="0.35">
      <c r="B26" s="16" t="s">
        <v>69</v>
      </c>
      <c r="C26" s="67">
        <f>Budget!B26</f>
        <v>28000</v>
      </c>
      <c r="D26" s="141">
        <f>Budget!C26</f>
        <v>10</v>
      </c>
      <c r="E26" s="141">
        <f>Budget!D26</f>
        <v>0</v>
      </c>
      <c r="F26" s="152">
        <f>Budget!E26</f>
        <v>0</v>
      </c>
      <c r="G26" s="150">
        <f>Budget!F26</f>
        <v>0</v>
      </c>
      <c r="H26" s="150">
        <f>Budget!G26</f>
        <v>0</v>
      </c>
      <c r="I26" s="150">
        <f>Budget!H26</f>
        <v>0</v>
      </c>
      <c r="J26" s="150">
        <f>Budget!I26</f>
        <v>0</v>
      </c>
      <c r="K26" s="150">
        <f>Budget!J26</f>
        <v>0</v>
      </c>
    </row>
    <row r="27" spans="2:11" x14ac:dyDescent="0.35">
      <c r="B27" s="16" t="s">
        <v>70</v>
      </c>
      <c r="C27" s="67">
        <f>Budget!B27</f>
        <v>10000</v>
      </c>
      <c r="D27" s="141">
        <f>Budget!C27</f>
        <v>3</v>
      </c>
      <c r="E27" s="141">
        <f>Budget!D27</f>
        <v>0</v>
      </c>
      <c r="F27" s="152">
        <f>Budget!E27</f>
        <v>0</v>
      </c>
      <c r="G27" s="150">
        <f>Budget!F27</f>
        <v>0</v>
      </c>
      <c r="H27" s="150">
        <f>Budget!G27</f>
        <v>0</v>
      </c>
      <c r="I27" s="150">
        <f>Budget!H27</f>
        <v>0</v>
      </c>
      <c r="J27" s="150">
        <f>Budget!I27</f>
        <v>0</v>
      </c>
      <c r="K27" s="150">
        <f>Budget!J27</f>
        <v>0</v>
      </c>
    </row>
    <row r="28" spans="2:11" ht="44" thickBot="1" x14ac:dyDescent="0.4">
      <c r="B28" s="98" t="s">
        <v>71</v>
      </c>
      <c r="C28" s="69">
        <f>Budget!B28</f>
        <v>1000</v>
      </c>
      <c r="D28" s="142">
        <f>Budget!C28</f>
        <v>5</v>
      </c>
      <c r="E28" s="142">
        <f>Budget!D28</f>
        <v>1</v>
      </c>
      <c r="F28" s="153">
        <f>Budget!E28</f>
        <v>0</v>
      </c>
      <c r="G28" s="154">
        <f>Budget!F28</f>
        <v>1000</v>
      </c>
      <c r="H28" s="154">
        <f>Budget!G28</f>
        <v>0</v>
      </c>
      <c r="I28" s="154">
        <f>Budget!H28</f>
        <v>0</v>
      </c>
      <c r="J28" s="154">
        <f>Budget!I28</f>
        <v>0</v>
      </c>
      <c r="K28" s="154">
        <f>Budget!J28</f>
        <v>0</v>
      </c>
    </row>
    <row r="29" spans="2:11" x14ac:dyDescent="0.35">
      <c r="B29" s="5" t="s">
        <v>45</v>
      </c>
      <c r="C29" s="6"/>
      <c r="D29" s="7"/>
      <c r="E29" s="7"/>
      <c r="F29" s="15"/>
      <c r="G29" s="15">
        <f>SUM(G22:G28)</f>
        <v>1828</v>
      </c>
      <c r="H29" s="15">
        <f>SUM(H22:H28)</f>
        <v>595</v>
      </c>
      <c r="I29" s="15">
        <f>SUM(I22:I28)</f>
        <v>614</v>
      </c>
      <c r="J29" s="15">
        <f>SUM(J22:J28)</f>
        <v>904</v>
      </c>
      <c r="K29" s="15">
        <f>SUM(K22:K28)</f>
        <v>651</v>
      </c>
    </row>
    <row r="30" spans="2:11" x14ac:dyDescent="0.35">
      <c r="B30" s="1"/>
      <c r="C30" s="1"/>
      <c r="D30" s="1"/>
      <c r="E30" s="4"/>
      <c r="F30" s="1"/>
      <c r="G30" s="1"/>
      <c r="H30" s="1"/>
      <c r="I30" s="1"/>
      <c r="J30" s="1"/>
      <c r="K30" s="1"/>
    </row>
    <row r="31" spans="2:11" x14ac:dyDescent="0.35">
      <c r="B31" s="107"/>
      <c r="C31" s="107"/>
      <c r="D31" s="107"/>
      <c r="E31" s="4"/>
      <c r="F31" s="1"/>
      <c r="G31" s="1"/>
      <c r="H31" s="1"/>
      <c r="I31" s="1"/>
      <c r="J31" s="1"/>
      <c r="K31" s="1"/>
    </row>
    <row r="32" spans="2:11" x14ac:dyDescent="0.35">
      <c r="B32" s="107"/>
      <c r="C32" s="107"/>
      <c r="D32" s="107"/>
      <c r="E32" s="4"/>
      <c r="F32" s="1"/>
      <c r="G32" s="1"/>
      <c r="H32" s="1"/>
      <c r="I32" s="1"/>
      <c r="J32" s="1"/>
      <c r="K32" s="1"/>
    </row>
    <row r="33" spans="2:11" x14ac:dyDescent="0.35">
      <c r="B33" s="107"/>
      <c r="C33" s="107"/>
      <c r="D33" s="107"/>
      <c r="E33" s="4"/>
      <c r="F33" s="1"/>
      <c r="G33" s="1"/>
      <c r="H33" s="1"/>
      <c r="I33" s="1"/>
      <c r="J33" s="1"/>
      <c r="K33" s="1"/>
    </row>
    <row r="34" spans="2:11" x14ac:dyDescent="0.35">
      <c r="B34" s="107"/>
      <c r="C34" s="107"/>
      <c r="D34" s="107"/>
      <c r="E34" s="4"/>
      <c r="F34" s="1"/>
      <c r="G34" s="1"/>
      <c r="H34" s="1"/>
      <c r="I34" s="1"/>
      <c r="J34" s="1"/>
      <c r="K34" s="1"/>
    </row>
    <row r="35" spans="2:11" x14ac:dyDescent="0.35">
      <c r="B35" s="107"/>
      <c r="C35" s="107"/>
      <c r="D35" s="107"/>
      <c r="E35" s="4"/>
      <c r="F35" s="1"/>
      <c r="G35" s="1"/>
      <c r="H35" s="1"/>
      <c r="I35" s="1"/>
      <c r="J35" s="1"/>
      <c r="K35" s="1"/>
    </row>
    <row r="36" spans="2:11" x14ac:dyDescent="0.35">
      <c r="B36" s="107"/>
      <c r="C36" s="107"/>
      <c r="D36" s="107"/>
      <c r="E36" s="4"/>
      <c r="F36" s="1"/>
      <c r="G36" s="1"/>
      <c r="H36" s="1"/>
      <c r="I36" s="1"/>
      <c r="J36" s="1"/>
      <c r="K36" s="1"/>
    </row>
    <row r="37" spans="2:11" ht="18.5" x14ac:dyDescent="0.45">
      <c r="B37" s="236" t="s">
        <v>14</v>
      </c>
      <c r="C37" s="236"/>
      <c r="D37" s="236"/>
      <c r="E37" s="236"/>
      <c r="F37" s="236"/>
      <c r="G37" s="236"/>
      <c r="H37" s="236"/>
      <c r="I37" s="236"/>
      <c r="J37" s="1"/>
      <c r="K37" s="1"/>
    </row>
    <row r="38" spans="2:11" ht="44" thickBot="1" x14ac:dyDescent="0.4">
      <c r="B38" s="33" t="s">
        <v>13</v>
      </c>
      <c r="C38" s="23" t="s">
        <v>107</v>
      </c>
      <c r="D38" s="122" t="s">
        <v>110</v>
      </c>
      <c r="E38" s="34" t="s">
        <v>3</v>
      </c>
      <c r="F38" s="33" t="s">
        <v>4</v>
      </c>
      <c r="G38" s="33" t="s">
        <v>5</v>
      </c>
      <c r="H38" s="33" t="s">
        <v>6</v>
      </c>
      <c r="I38" s="33" t="s">
        <v>7</v>
      </c>
      <c r="J38" s="1"/>
      <c r="K38" s="1"/>
    </row>
    <row r="39" spans="2:11" x14ac:dyDescent="0.35">
      <c r="B39" s="41" t="s">
        <v>14</v>
      </c>
      <c r="C39" s="1"/>
      <c r="D39" s="1"/>
      <c r="E39" s="32"/>
      <c r="F39" s="9"/>
      <c r="G39" s="9"/>
      <c r="H39" s="9"/>
      <c r="I39" s="102"/>
      <c r="J39" s="1"/>
      <c r="K39" s="1"/>
    </row>
    <row r="40" spans="2:11" x14ac:dyDescent="0.35">
      <c r="B40" s="25" t="s">
        <v>15</v>
      </c>
      <c r="C40" s="115">
        <f>F5</f>
        <v>1000000</v>
      </c>
      <c r="D40" s="118">
        <f>I5</f>
        <v>6.0000000000000001E-3</v>
      </c>
      <c r="E40" s="119">
        <f>C40*D40</f>
        <v>6000</v>
      </c>
      <c r="F40" s="30">
        <v>6000</v>
      </c>
      <c r="G40" s="30">
        <v>6000</v>
      </c>
      <c r="H40" s="30">
        <v>6000</v>
      </c>
      <c r="I40" s="30">
        <v>6000</v>
      </c>
      <c r="J40" s="12"/>
      <c r="K40" s="12"/>
    </row>
    <row r="41" spans="2:11" x14ac:dyDescent="0.35">
      <c r="B41" s="16" t="s">
        <v>108</v>
      </c>
      <c r="C41" s="116">
        <f>F17+F18</f>
        <v>752</v>
      </c>
      <c r="D41" s="67">
        <f>Budget!C35</f>
        <v>2</v>
      </c>
      <c r="E41" s="125">
        <f>C41*D41</f>
        <v>1504</v>
      </c>
      <c r="F41" s="29">
        <f>ROUND(E41+E41*0.03,0)</f>
        <v>1549</v>
      </c>
      <c r="G41" s="29">
        <f>ROUND(F41+F41*0.03,0)</f>
        <v>1595</v>
      </c>
      <c r="H41" s="29">
        <f t="shared" ref="H41:I52" si="0">ROUND(G41+G41*0.03,0)</f>
        <v>1643</v>
      </c>
      <c r="I41" s="29">
        <f t="shared" si="0"/>
        <v>1692</v>
      </c>
      <c r="J41" s="1"/>
      <c r="K41" s="1"/>
    </row>
    <row r="42" spans="2:11" x14ac:dyDescent="0.35">
      <c r="B42" s="16" t="s">
        <v>16</v>
      </c>
      <c r="C42" s="131">
        <f>Budget!B36</f>
        <v>205</v>
      </c>
      <c r="D42" s="67">
        <f>Budget!C36</f>
        <v>3.5</v>
      </c>
      <c r="E42" s="125">
        <f>C42*D42</f>
        <v>717.5</v>
      </c>
      <c r="F42" s="29">
        <f t="shared" ref="F42:G48" si="1">ROUND(E42+E42*0.03,0)</f>
        <v>739</v>
      </c>
      <c r="G42" s="29">
        <f t="shared" si="1"/>
        <v>761</v>
      </c>
      <c r="H42" s="29">
        <f t="shared" si="0"/>
        <v>784</v>
      </c>
      <c r="I42" s="29">
        <f t="shared" si="0"/>
        <v>808</v>
      </c>
      <c r="J42" s="1"/>
      <c r="K42" s="1"/>
    </row>
    <row r="43" spans="2:11" x14ac:dyDescent="0.35">
      <c r="B43" s="16" t="s">
        <v>17</v>
      </c>
      <c r="C43" s="131">
        <f>Budget!B37</f>
        <v>205</v>
      </c>
      <c r="D43" s="67">
        <f>Budget!C37</f>
        <v>3.5</v>
      </c>
      <c r="E43" s="125">
        <f>C43*D43</f>
        <v>717.5</v>
      </c>
      <c r="F43" s="29">
        <f t="shared" si="1"/>
        <v>739</v>
      </c>
      <c r="G43" s="29">
        <f t="shared" si="1"/>
        <v>761</v>
      </c>
      <c r="H43" s="29">
        <f t="shared" si="0"/>
        <v>784</v>
      </c>
      <c r="I43" s="29">
        <f t="shared" si="0"/>
        <v>808</v>
      </c>
      <c r="J43" s="1"/>
      <c r="K43" s="1"/>
    </row>
    <row r="44" spans="2:11" x14ac:dyDescent="0.35">
      <c r="B44" s="16" t="s">
        <v>18</v>
      </c>
      <c r="C44" s="164">
        <f>Budget!B38</f>
        <v>1</v>
      </c>
      <c r="D44" s="67">
        <f>Budget!C38</f>
        <v>100</v>
      </c>
      <c r="E44" s="125">
        <f>C44*D44</f>
        <v>100</v>
      </c>
      <c r="F44" s="29">
        <f t="shared" si="1"/>
        <v>103</v>
      </c>
      <c r="G44" s="29">
        <f t="shared" si="1"/>
        <v>106</v>
      </c>
      <c r="H44" s="29">
        <f t="shared" si="0"/>
        <v>109</v>
      </c>
      <c r="I44" s="29">
        <f t="shared" si="0"/>
        <v>112</v>
      </c>
      <c r="J44" s="1"/>
      <c r="K44" s="1"/>
    </row>
    <row r="45" spans="2:11" x14ac:dyDescent="0.35">
      <c r="B45" s="16" t="s">
        <v>77</v>
      </c>
      <c r="C45" s="121"/>
      <c r="D45" s="67">
        <f>Budget!C39</f>
        <v>2800</v>
      </c>
      <c r="E45" s="125">
        <f>D45</f>
        <v>2800</v>
      </c>
      <c r="F45" s="29">
        <f t="shared" si="1"/>
        <v>2884</v>
      </c>
      <c r="G45" s="29">
        <f t="shared" si="1"/>
        <v>2971</v>
      </c>
      <c r="H45" s="29">
        <f t="shared" si="0"/>
        <v>3060</v>
      </c>
      <c r="I45" s="29">
        <f t="shared" si="0"/>
        <v>3152</v>
      </c>
      <c r="J45" s="1"/>
      <c r="K45" s="1"/>
    </row>
    <row r="46" spans="2:11" x14ac:dyDescent="0.35">
      <c r="B46" s="16" t="s">
        <v>78</v>
      </c>
      <c r="C46" s="120">
        <f>ROUND(0.75*F17+0.9*F18,0)</f>
        <v>662</v>
      </c>
      <c r="D46" s="67">
        <f>Budget!C40</f>
        <v>1.25</v>
      </c>
      <c r="E46" s="125">
        <f>C46*D46</f>
        <v>827.5</v>
      </c>
      <c r="F46" s="29">
        <f t="shared" si="1"/>
        <v>852</v>
      </c>
      <c r="G46" s="29">
        <f t="shared" si="1"/>
        <v>878</v>
      </c>
      <c r="H46" s="29">
        <f t="shared" si="0"/>
        <v>904</v>
      </c>
      <c r="I46" s="29">
        <f t="shared" si="0"/>
        <v>931</v>
      </c>
      <c r="J46" s="1"/>
      <c r="K46" s="1"/>
    </row>
    <row r="47" spans="2:11" x14ac:dyDescent="0.35">
      <c r="B47" s="16" t="s">
        <v>111</v>
      </c>
      <c r="C47" s="120"/>
      <c r="D47" s="67">
        <f>Budget!C41</f>
        <v>4400</v>
      </c>
      <c r="E47" s="125">
        <f>D47</f>
        <v>4400</v>
      </c>
      <c r="F47" s="119">
        <f t="shared" si="1"/>
        <v>4532</v>
      </c>
      <c r="G47" s="119">
        <f t="shared" si="1"/>
        <v>4668</v>
      </c>
      <c r="H47" s="119">
        <f t="shared" si="0"/>
        <v>4808</v>
      </c>
      <c r="I47" s="119">
        <f t="shared" si="0"/>
        <v>4952</v>
      </c>
      <c r="J47" s="1"/>
      <c r="K47" s="1"/>
    </row>
    <row r="48" spans="2:11" x14ac:dyDescent="0.35">
      <c r="B48" s="16" t="s">
        <v>66</v>
      </c>
      <c r="C48" s="120"/>
      <c r="D48" s="67">
        <f>Budget!C42</f>
        <v>250</v>
      </c>
      <c r="E48" s="125">
        <f>D48</f>
        <v>250</v>
      </c>
      <c r="F48" s="29">
        <f t="shared" si="1"/>
        <v>258</v>
      </c>
      <c r="G48" s="29">
        <f t="shared" si="1"/>
        <v>266</v>
      </c>
      <c r="H48" s="29">
        <f t="shared" si="0"/>
        <v>274</v>
      </c>
      <c r="I48" s="29">
        <f t="shared" si="0"/>
        <v>282</v>
      </c>
      <c r="J48" s="1"/>
      <c r="K48" s="1"/>
    </row>
    <row r="49" spans="2:11" x14ac:dyDescent="0.35">
      <c r="B49" s="42" t="s">
        <v>68</v>
      </c>
      <c r="C49" s="114"/>
      <c r="D49" s="114"/>
      <c r="E49" s="126"/>
      <c r="F49" s="35"/>
      <c r="G49" s="35"/>
      <c r="H49" s="35"/>
      <c r="I49" s="36"/>
      <c r="J49" s="12"/>
      <c r="K49" s="12"/>
    </row>
    <row r="50" spans="2:11" x14ac:dyDescent="0.35">
      <c r="B50" s="16" t="s">
        <v>48</v>
      </c>
      <c r="C50" s="47">
        <f>Budget!B44</f>
        <v>1</v>
      </c>
      <c r="D50" s="47">
        <f>Budget!C44</f>
        <v>750</v>
      </c>
      <c r="E50" s="127">
        <v>750</v>
      </c>
      <c r="F50" s="29">
        <f>ROUND(E50+E50*0.03,0)</f>
        <v>773</v>
      </c>
      <c r="G50" s="29">
        <f>ROUND(F50+F50*0.03,0)</f>
        <v>796</v>
      </c>
      <c r="H50" s="29">
        <f t="shared" si="0"/>
        <v>820</v>
      </c>
      <c r="I50" s="29">
        <f t="shared" si="0"/>
        <v>845</v>
      </c>
      <c r="J50" s="1"/>
      <c r="K50" s="1"/>
    </row>
    <row r="51" spans="2:11" x14ac:dyDescent="0.35">
      <c r="B51" s="16" t="s">
        <v>49</v>
      </c>
      <c r="C51" s="47">
        <f>Budget!B45</f>
        <v>1</v>
      </c>
      <c r="D51" s="47">
        <f>Budget!C45</f>
        <v>250</v>
      </c>
      <c r="E51" s="127">
        <v>250</v>
      </c>
      <c r="F51" s="29">
        <v>250</v>
      </c>
      <c r="G51" s="29">
        <v>250</v>
      </c>
      <c r="H51" s="29">
        <v>250</v>
      </c>
      <c r="I51" s="29">
        <v>250</v>
      </c>
      <c r="J51" s="1"/>
      <c r="K51" s="1"/>
    </row>
    <row r="52" spans="2:11" x14ac:dyDescent="0.35">
      <c r="B52" s="16" t="s">
        <v>20</v>
      </c>
      <c r="C52" s="47">
        <f>Budget!B46</f>
        <v>1</v>
      </c>
      <c r="D52" s="47">
        <f>Budget!C46</f>
        <v>500</v>
      </c>
      <c r="E52" s="127">
        <v>500</v>
      </c>
      <c r="F52" s="29">
        <f>ROUND(E52+E52*0.03,0)</f>
        <v>515</v>
      </c>
      <c r="G52" s="29">
        <f>ROUND(F52+F52*0.03,0)</f>
        <v>530</v>
      </c>
      <c r="H52" s="29">
        <f t="shared" si="0"/>
        <v>546</v>
      </c>
      <c r="I52" s="29">
        <f t="shared" si="0"/>
        <v>562</v>
      </c>
      <c r="J52" s="1"/>
      <c r="K52" s="1"/>
    </row>
    <row r="53" spans="2:11" x14ac:dyDescent="0.35">
      <c r="B53" s="108" t="s">
        <v>104</v>
      </c>
      <c r="C53" s="130">
        <f>Budget!B47</f>
        <v>1</v>
      </c>
      <c r="D53" s="130">
        <f>Budget!C47</f>
        <v>27</v>
      </c>
      <c r="E53" s="128">
        <v>27</v>
      </c>
      <c r="F53" s="109">
        <v>27</v>
      </c>
      <c r="G53" s="109">
        <v>27</v>
      </c>
      <c r="H53" s="109">
        <v>27</v>
      </c>
      <c r="I53" s="109">
        <v>27</v>
      </c>
      <c r="J53" s="1"/>
      <c r="K53" s="1"/>
    </row>
    <row r="54" spans="2:11" ht="16" thickBot="1" x14ac:dyDescent="0.4">
      <c r="B54" s="27" t="s">
        <v>21</v>
      </c>
      <c r="C54" s="48">
        <f>Budget!B48</f>
        <v>1</v>
      </c>
      <c r="D54" s="48">
        <f>Budget!C48</f>
        <v>100</v>
      </c>
      <c r="E54" s="129">
        <v>100</v>
      </c>
      <c r="F54" s="110">
        <v>100</v>
      </c>
      <c r="G54" s="110">
        <v>100</v>
      </c>
      <c r="H54" s="110">
        <v>100</v>
      </c>
      <c r="I54" s="110">
        <v>100</v>
      </c>
      <c r="J54" s="1"/>
      <c r="K54" s="1"/>
    </row>
    <row r="55" spans="2:11" x14ac:dyDescent="0.35">
      <c r="B55" s="3" t="s">
        <v>22</v>
      </c>
      <c r="C55" s="3"/>
      <c r="D55" s="3"/>
      <c r="E55" s="10">
        <f>SUM(E40:E54)</f>
        <v>18943.5</v>
      </c>
      <c r="F55" s="10">
        <f>SUM(F40:F54)</f>
        <v>19321</v>
      </c>
      <c r="G55" s="10">
        <f>SUM(G40:G54)</f>
        <v>19709</v>
      </c>
      <c r="H55" s="10">
        <f>SUM(H40:H54)</f>
        <v>20109</v>
      </c>
      <c r="I55" s="10">
        <f>SUM(I40:I54)</f>
        <v>20521</v>
      </c>
      <c r="J55" s="1"/>
      <c r="K55" s="1"/>
    </row>
    <row r="56" spans="2:11" x14ac:dyDescent="0.35">
      <c r="B56" s="3"/>
      <c r="C56" s="3"/>
      <c r="D56" s="3"/>
      <c r="E56" s="10"/>
      <c r="F56" s="10"/>
      <c r="G56" s="10"/>
      <c r="H56" s="10"/>
      <c r="I56" s="10"/>
      <c r="J56" s="1"/>
      <c r="K56" s="1"/>
    </row>
    <row r="57" spans="2:11" x14ac:dyDescent="0.35">
      <c r="B57" s="3"/>
      <c r="C57" s="3"/>
      <c r="D57" s="3"/>
      <c r="E57" s="10"/>
      <c r="F57" s="10"/>
      <c r="G57" s="10"/>
      <c r="H57" s="10"/>
      <c r="I57" s="10"/>
      <c r="J57" s="1"/>
      <c r="K57" s="1"/>
    </row>
    <row r="58" spans="2:11" x14ac:dyDescent="0.35">
      <c r="B58" s="1"/>
      <c r="C58" s="1"/>
      <c r="D58" s="1"/>
      <c r="E58" s="8"/>
      <c r="F58" s="8"/>
      <c r="G58" s="8"/>
      <c r="H58" s="8"/>
      <c r="I58" s="8"/>
      <c r="J58" s="1"/>
      <c r="K58" s="1"/>
    </row>
    <row r="59" spans="2:11" ht="18.5" x14ac:dyDescent="0.45">
      <c r="B59" s="236" t="s">
        <v>76</v>
      </c>
      <c r="C59" s="236"/>
      <c r="D59" s="236"/>
      <c r="E59" s="236"/>
      <c r="F59" s="236"/>
      <c r="G59" s="236"/>
      <c r="H59" s="236"/>
      <c r="I59" s="236"/>
      <c r="J59" s="1"/>
      <c r="K59" s="1"/>
    </row>
    <row r="60" spans="2:11" ht="16" thickBot="1" x14ac:dyDescent="0.4">
      <c r="B60" s="37"/>
      <c r="C60" s="34" t="s">
        <v>3</v>
      </c>
      <c r="D60" s="33" t="s">
        <v>4</v>
      </c>
      <c r="E60" s="33" t="s">
        <v>5</v>
      </c>
      <c r="F60" s="33" t="s">
        <v>6</v>
      </c>
      <c r="G60" s="33" t="s">
        <v>7</v>
      </c>
      <c r="H60" s="1"/>
      <c r="I60" s="1"/>
      <c r="J60" s="1"/>
      <c r="K60" s="1"/>
    </row>
    <row r="61" spans="2:11" x14ac:dyDescent="0.35">
      <c r="B61" s="25" t="s">
        <v>23</v>
      </c>
      <c r="C61" s="155">
        <f>Budget!$B$56</f>
        <v>0</v>
      </c>
      <c r="D61" s="39">
        <f>C68</f>
        <v>15078.500000000007</v>
      </c>
      <c r="E61" s="39">
        <f>D68</f>
        <v>31012.500000000015</v>
      </c>
      <c r="F61" s="39">
        <f>E68</f>
        <v>46539.500000000022</v>
      </c>
      <c r="G61" s="39">
        <f>F68</f>
        <v>61376.500000000029</v>
      </c>
      <c r="H61" s="1"/>
      <c r="I61" s="1"/>
      <c r="J61" s="1"/>
      <c r="K61" s="1"/>
    </row>
    <row r="62" spans="2:11" x14ac:dyDescent="0.35">
      <c r="B62" s="16" t="s">
        <v>24</v>
      </c>
      <c r="C62" s="38">
        <f>F90</f>
        <v>35850.000000000007</v>
      </c>
      <c r="D62" s="38">
        <f>F90</f>
        <v>35850.000000000007</v>
      </c>
      <c r="E62" s="38">
        <f>F90</f>
        <v>35850.000000000007</v>
      </c>
      <c r="F62" s="38">
        <f>F90</f>
        <v>35850.000000000007</v>
      </c>
      <c r="G62" s="38">
        <f>F90</f>
        <v>35850.000000000007</v>
      </c>
      <c r="H62" s="1"/>
      <c r="I62" s="1"/>
      <c r="J62" s="1"/>
      <c r="K62" s="1"/>
    </row>
    <row r="63" spans="2:11" x14ac:dyDescent="0.35">
      <c r="B63" s="16" t="s">
        <v>25</v>
      </c>
      <c r="C63" s="38"/>
      <c r="D63" s="38"/>
      <c r="E63" s="38"/>
      <c r="F63" s="38"/>
      <c r="G63" s="38"/>
      <c r="H63" s="1"/>
      <c r="I63" s="1"/>
      <c r="J63" s="1"/>
      <c r="K63" s="1"/>
    </row>
    <row r="64" spans="2:11" x14ac:dyDescent="0.35">
      <c r="B64" s="16" t="s">
        <v>64</v>
      </c>
      <c r="C64" s="38">
        <f>E55</f>
        <v>18943.5</v>
      </c>
      <c r="D64" s="38">
        <f>F55</f>
        <v>19321</v>
      </c>
      <c r="E64" s="38">
        <f>G55</f>
        <v>19709</v>
      </c>
      <c r="F64" s="38">
        <f>H55</f>
        <v>20109</v>
      </c>
      <c r="G64" s="38">
        <f>I55</f>
        <v>20521</v>
      </c>
      <c r="H64" s="1"/>
      <c r="I64" s="1"/>
      <c r="J64" s="1"/>
      <c r="K64" s="1"/>
    </row>
    <row r="65" spans="2:11" x14ac:dyDescent="0.35">
      <c r="B65" s="16" t="s">
        <v>65</v>
      </c>
      <c r="C65" s="38">
        <f>G29</f>
        <v>1828</v>
      </c>
      <c r="D65" s="38">
        <f>H29</f>
        <v>595</v>
      </c>
      <c r="E65" s="38">
        <f>I29</f>
        <v>614</v>
      </c>
      <c r="F65" s="38">
        <f>J29</f>
        <v>904</v>
      </c>
      <c r="G65" s="38">
        <f>K29</f>
        <v>651</v>
      </c>
      <c r="H65" s="1"/>
      <c r="I65" s="1"/>
      <c r="J65" s="1"/>
      <c r="K65" s="1"/>
    </row>
    <row r="66" spans="2:11" x14ac:dyDescent="0.35">
      <c r="B66" s="16" t="s">
        <v>28</v>
      </c>
      <c r="C66" s="38">
        <f>C64+C65</f>
        <v>20771.5</v>
      </c>
      <c r="D66" s="38">
        <f>D64+D65</f>
        <v>19916</v>
      </c>
      <c r="E66" s="38">
        <f>E64+E65</f>
        <v>20323</v>
      </c>
      <c r="F66" s="38">
        <f>F64+F65</f>
        <v>21013</v>
      </c>
      <c r="G66" s="38">
        <f>G64+G65</f>
        <v>21172</v>
      </c>
      <c r="H66" s="1"/>
      <c r="I66" s="1"/>
      <c r="J66" s="1"/>
      <c r="K66" s="1"/>
    </row>
    <row r="67" spans="2:11" x14ac:dyDescent="0.35">
      <c r="B67" s="16" t="s">
        <v>26</v>
      </c>
      <c r="C67" s="38">
        <f>C62-C66</f>
        <v>15078.500000000007</v>
      </c>
      <c r="D67" s="38">
        <f>D62-D66</f>
        <v>15934.000000000007</v>
      </c>
      <c r="E67" s="38">
        <f>E62-E66</f>
        <v>15527.000000000007</v>
      </c>
      <c r="F67" s="38">
        <f>F62-F66</f>
        <v>14837.000000000007</v>
      </c>
      <c r="G67" s="38">
        <f>G62-G66</f>
        <v>14678.000000000007</v>
      </c>
      <c r="H67" s="1"/>
      <c r="I67" s="1"/>
      <c r="J67" s="1"/>
      <c r="K67" s="1"/>
    </row>
    <row r="68" spans="2:11" x14ac:dyDescent="0.35">
      <c r="B68" s="16" t="s">
        <v>27</v>
      </c>
      <c r="C68" s="38">
        <f>C61+C67</f>
        <v>15078.500000000007</v>
      </c>
      <c r="D68" s="38">
        <f>D61+D67</f>
        <v>31012.500000000015</v>
      </c>
      <c r="E68" s="38">
        <f>E61+E67</f>
        <v>46539.500000000022</v>
      </c>
      <c r="F68" s="38">
        <f>F61+F67</f>
        <v>61376.500000000029</v>
      </c>
      <c r="G68" s="38">
        <f>G61+G67</f>
        <v>76054.500000000029</v>
      </c>
      <c r="H68" s="1"/>
      <c r="I68" s="1"/>
      <c r="J68" s="1"/>
      <c r="K68" s="1"/>
    </row>
    <row r="69" spans="2:11" x14ac:dyDescent="0.35">
      <c r="B69" s="7"/>
      <c r="C69" s="7"/>
      <c r="D69" s="7"/>
      <c r="E69" s="40"/>
      <c r="F69" s="40"/>
      <c r="G69" s="40"/>
      <c r="H69" s="40"/>
      <c r="I69" s="40"/>
      <c r="J69" s="1"/>
      <c r="K69" s="1"/>
    </row>
    <row r="70" spans="2:11" ht="21.5" x14ac:dyDescent="0.75">
      <c r="B70" s="107"/>
      <c r="C70" s="107"/>
      <c r="D70" s="107"/>
      <c r="E70" s="244" t="s">
        <v>118</v>
      </c>
      <c r="F70" s="244"/>
      <c r="G70" s="1"/>
      <c r="H70" s="1"/>
      <c r="I70" s="1"/>
      <c r="J70" s="1"/>
      <c r="K70" s="1"/>
    </row>
    <row r="71" spans="2:11" x14ac:dyDescent="0.35">
      <c r="B71" s="107"/>
      <c r="C71" s="107"/>
      <c r="D71" s="107"/>
      <c r="E71" s="145"/>
      <c r="F71" s="145"/>
      <c r="G71" s="1"/>
      <c r="H71" s="1"/>
      <c r="I71" s="1"/>
      <c r="J71" s="1"/>
      <c r="K71" s="1"/>
    </row>
    <row r="72" spans="2:11" ht="16" thickBot="1" x14ac:dyDescent="0.4">
      <c r="B72" s="23" t="str">
        <f>Budget!A68</f>
        <v>Capital Item</v>
      </c>
      <c r="C72" s="34" t="str">
        <f>Budget!B68</f>
        <v>Unit Cost</v>
      </c>
      <c r="D72" s="33" t="str">
        <f>Budget!C68</f>
        <v>Years of Life</v>
      </c>
      <c r="E72" s="33" t="str">
        <f>Budget!D68</f>
        <v>Year 1</v>
      </c>
      <c r="F72" s="33" t="str">
        <f>Budget!E68</f>
        <v>Year 2</v>
      </c>
      <c r="G72" s="33" t="str">
        <f>Budget!F68</f>
        <v>Year 3</v>
      </c>
      <c r="H72" s="33" t="str">
        <f>Budget!G68</f>
        <v>Year 4</v>
      </c>
      <c r="I72" s="33" t="str">
        <f>Budget!H68</f>
        <v>Year 5</v>
      </c>
      <c r="J72" s="1"/>
      <c r="K72" s="1"/>
    </row>
    <row r="73" spans="2:11" x14ac:dyDescent="0.35">
      <c r="B73" s="25" t="str">
        <f>Budget!A69</f>
        <v>Nursery Bag</v>
      </c>
      <c r="C73" s="144">
        <f>Budget!B69</f>
        <v>7</v>
      </c>
      <c r="D73" s="140">
        <f>Budget!C69</f>
        <v>4</v>
      </c>
      <c r="E73" s="26">
        <f>Budget!D69</f>
        <v>175</v>
      </c>
      <c r="F73" s="26">
        <f>Budget!E69</f>
        <v>180</v>
      </c>
      <c r="G73" s="26">
        <f>Budget!F69</f>
        <v>185</v>
      </c>
      <c r="H73" s="26">
        <f>Budget!G69</f>
        <v>191</v>
      </c>
      <c r="I73" s="26">
        <f>Budget!H69</f>
        <v>197</v>
      </c>
      <c r="J73" s="1"/>
      <c r="K73" s="1"/>
    </row>
    <row r="74" spans="2:11" x14ac:dyDescent="0.35">
      <c r="B74" s="16" t="str">
        <f>Budget!A70</f>
        <v>Growout Bag</v>
      </c>
      <c r="C74" s="144">
        <f>Budget!B70</f>
        <v>6.2</v>
      </c>
      <c r="D74" s="141">
        <f>Budget!C70</f>
        <v>10</v>
      </c>
      <c r="E74" s="26">
        <f>Budget!D70</f>
        <v>404</v>
      </c>
      <c r="F74" s="26">
        <f>Budget!E70</f>
        <v>416</v>
      </c>
      <c r="G74" s="26">
        <f>Budget!F70</f>
        <v>428</v>
      </c>
      <c r="H74" s="26">
        <f>Budget!G70</f>
        <v>441</v>
      </c>
      <c r="I74" s="26">
        <f>Budget!H70</f>
        <v>454</v>
      </c>
      <c r="J74" s="1"/>
      <c r="K74" s="1"/>
    </row>
    <row r="75" spans="2:11" x14ac:dyDescent="0.35">
      <c r="B75" s="16" t="str">
        <f>Budget!A71</f>
        <v>Wet Suit</v>
      </c>
      <c r="C75" s="144">
        <f>Budget!B71</f>
        <v>250</v>
      </c>
      <c r="D75" s="141">
        <f>Budget!C71</f>
        <v>3</v>
      </c>
      <c r="E75" s="24">
        <f>Budget!D71</f>
        <v>83.333333333333329</v>
      </c>
      <c r="F75" s="24">
        <f>Budget!E71</f>
        <v>86</v>
      </c>
      <c r="G75" s="24">
        <f>Budget!F71</f>
        <v>89</v>
      </c>
      <c r="H75" s="24">
        <f>Budget!G71</f>
        <v>92</v>
      </c>
      <c r="I75" s="24">
        <f>Budget!H71</f>
        <v>95</v>
      </c>
      <c r="J75" s="1"/>
      <c r="K75" s="1"/>
    </row>
    <row r="76" spans="2:11" x14ac:dyDescent="0.35">
      <c r="B76" s="16" t="str">
        <f>Budget!A72</f>
        <v>Boat</v>
      </c>
      <c r="C76" s="144">
        <f>Budget!B72</f>
        <v>18000</v>
      </c>
      <c r="D76" s="141">
        <f>Budget!C72</f>
        <v>7</v>
      </c>
      <c r="E76" s="24">
        <f>Budget!D72</f>
        <v>0</v>
      </c>
      <c r="F76" s="24">
        <f>Budget!E72</f>
        <v>0</v>
      </c>
      <c r="G76" s="24">
        <f>Budget!F72</f>
        <v>0</v>
      </c>
      <c r="H76" s="24">
        <f>Budget!G72</f>
        <v>0</v>
      </c>
      <c r="I76" s="24">
        <f>Budget!H72</f>
        <v>0</v>
      </c>
      <c r="J76" s="1"/>
      <c r="K76" s="1"/>
    </row>
    <row r="77" spans="2:11" x14ac:dyDescent="0.35">
      <c r="B77" s="16" t="str">
        <f>Budget!A73</f>
        <v>Truck</v>
      </c>
      <c r="C77" s="144">
        <f>Budget!B73</f>
        <v>28000</v>
      </c>
      <c r="D77" s="141">
        <f>Budget!C73</f>
        <v>10</v>
      </c>
      <c r="E77" s="24">
        <f>Budget!D73</f>
        <v>0</v>
      </c>
      <c r="F77" s="24">
        <f>Budget!E73</f>
        <v>0</v>
      </c>
      <c r="G77" s="24">
        <f>Budget!F73</f>
        <v>0</v>
      </c>
      <c r="H77" s="24">
        <f>Budget!G73</f>
        <v>0</v>
      </c>
      <c r="I77" s="24">
        <f>Budget!H73</f>
        <v>0</v>
      </c>
      <c r="J77" s="1"/>
      <c r="K77" s="1"/>
    </row>
    <row r="78" spans="2:11" x14ac:dyDescent="0.35">
      <c r="B78" s="16" t="str">
        <f>Budget!A74</f>
        <v>Motor</v>
      </c>
      <c r="C78" s="144">
        <f>Budget!B74</f>
        <v>10000</v>
      </c>
      <c r="D78" s="141">
        <f>Budget!C74</f>
        <v>3</v>
      </c>
      <c r="E78" s="24">
        <f>Budget!D74</f>
        <v>0</v>
      </c>
      <c r="F78" s="24">
        <f>Budget!E74</f>
        <v>0</v>
      </c>
      <c r="G78" s="24">
        <f>Budget!F74</f>
        <v>0</v>
      </c>
      <c r="H78" s="24">
        <f>Budget!G74</f>
        <v>0</v>
      </c>
      <c r="I78" s="24">
        <f>Budget!H74</f>
        <v>0</v>
      </c>
      <c r="J78" s="1"/>
      <c r="K78" s="1"/>
    </row>
    <row r="79" spans="2:11" ht="44" thickBot="1" x14ac:dyDescent="0.4">
      <c r="B79" s="98" t="str">
        <f>Budget!A75</f>
        <v>Winch/Davit/Boom/Pulley/Batteries</v>
      </c>
      <c r="C79" s="129">
        <f>Budget!B75</f>
        <v>1000</v>
      </c>
      <c r="D79" s="142">
        <f>Budget!C75</f>
        <v>5</v>
      </c>
      <c r="E79" s="28">
        <f>Budget!D75</f>
        <v>200</v>
      </c>
      <c r="F79" s="28">
        <f>Budget!E75</f>
        <v>206</v>
      </c>
      <c r="G79" s="28">
        <f>Budget!F75</f>
        <v>212</v>
      </c>
      <c r="H79" s="28">
        <f>Budget!G75</f>
        <v>218</v>
      </c>
      <c r="I79" s="28">
        <f>Budget!H75</f>
        <v>225</v>
      </c>
      <c r="J79" s="1"/>
      <c r="K79" s="1"/>
    </row>
    <row r="80" spans="2:11" x14ac:dyDescent="0.35">
      <c r="B80" s="5" t="str">
        <f>Budget!A76</f>
        <v xml:space="preserve">Total Investment </v>
      </c>
      <c r="C80" s="6">
        <f>Budget!B76</f>
        <v>0</v>
      </c>
      <c r="D80" s="7">
        <f>Budget!C76</f>
        <v>0</v>
      </c>
      <c r="E80" s="15">
        <f>Budget!D76</f>
        <v>862.33333333333337</v>
      </c>
      <c r="F80" s="15">
        <f>Budget!E76</f>
        <v>888</v>
      </c>
      <c r="G80" s="15">
        <f>Budget!F76</f>
        <v>914</v>
      </c>
      <c r="H80" s="15">
        <f>Budget!G76</f>
        <v>942</v>
      </c>
      <c r="I80" s="15">
        <f>Budget!H76</f>
        <v>971</v>
      </c>
      <c r="J80" s="1"/>
      <c r="K80" s="1"/>
    </row>
    <row r="81" spans="2:11" x14ac:dyDescent="0.35">
      <c r="B81" s="7"/>
      <c r="C81" s="7"/>
      <c r="D81" s="7"/>
      <c r="E81" s="40"/>
      <c r="F81" s="40"/>
      <c r="G81" s="40"/>
      <c r="H81" s="40"/>
      <c r="I81" s="40"/>
      <c r="J81" s="1"/>
      <c r="K81" s="1"/>
    </row>
    <row r="82" spans="2:11" x14ac:dyDescent="0.35">
      <c r="B82" s="1"/>
      <c r="C82" s="1"/>
      <c r="D82" s="1"/>
      <c r="E82" s="4"/>
      <c r="F82" s="1"/>
      <c r="G82" s="1"/>
      <c r="H82" s="1"/>
      <c r="I82" s="1"/>
      <c r="J82" s="1"/>
      <c r="K82" s="1"/>
    </row>
    <row r="83" spans="2:11" ht="18.5" x14ac:dyDescent="0.45">
      <c r="B83" s="236" t="s">
        <v>75</v>
      </c>
      <c r="C83" s="236"/>
      <c r="D83" s="236"/>
      <c r="E83" s="236"/>
      <c r="F83" s="236"/>
      <c r="G83" s="236"/>
      <c r="H83" s="143"/>
      <c r="I83" s="143"/>
      <c r="J83" s="1"/>
      <c r="K83" s="1"/>
    </row>
    <row r="84" spans="2:11" ht="16" thickBot="1" x14ac:dyDescent="0.4">
      <c r="B84" s="33" t="s">
        <v>29</v>
      </c>
      <c r="C84" s="33"/>
      <c r="D84" s="34" t="s">
        <v>30</v>
      </c>
      <c r="E84" s="33" t="s">
        <v>31</v>
      </c>
      <c r="F84" s="33" t="s">
        <v>32</v>
      </c>
      <c r="G84" s="1"/>
      <c r="H84" s="1"/>
      <c r="I84" s="1"/>
      <c r="J84" s="1"/>
      <c r="K84" s="1"/>
    </row>
    <row r="85" spans="2:11" x14ac:dyDescent="0.35">
      <c r="B85" s="31" t="s">
        <v>33</v>
      </c>
      <c r="C85" s="31"/>
      <c r="D85" s="6"/>
      <c r="E85" s="7"/>
      <c r="F85" s="7"/>
      <c r="G85" s="1"/>
      <c r="H85" s="1"/>
      <c r="I85" s="1"/>
      <c r="J85" s="1"/>
      <c r="K85" s="1"/>
    </row>
    <row r="86" spans="2:11" x14ac:dyDescent="0.35">
      <c r="B86" s="7" t="s">
        <v>34</v>
      </c>
      <c r="C86" s="7"/>
      <c r="D86" s="50">
        <f>F13*D90</f>
        <v>360000.00000000006</v>
      </c>
      <c r="E86" s="51">
        <f>I7</f>
        <v>7.0000000000000007E-2</v>
      </c>
      <c r="F86" s="11">
        <f>E86*D86</f>
        <v>25200.000000000007</v>
      </c>
      <c r="G86" s="1"/>
      <c r="H86" s="1"/>
      <c r="I86" s="1"/>
      <c r="J86" s="1"/>
      <c r="K86" s="1"/>
    </row>
    <row r="87" spans="2:11" x14ac:dyDescent="0.35">
      <c r="B87" s="7" t="s">
        <v>35</v>
      </c>
      <c r="C87" s="7"/>
      <c r="D87" s="50">
        <f>F14*D90</f>
        <v>150000.00000000003</v>
      </c>
      <c r="E87" s="51">
        <f>I8</f>
        <v>0.05</v>
      </c>
      <c r="F87" s="11">
        <f>E87*D87</f>
        <v>7500.0000000000018</v>
      </c>
      <c r="G87" s="1"/>
      <c r="H87" s="1"/>
      <c r="I87" s="1"/>
      <c r="J87" s="1"/>
      <c r="K87" s="1"/>
    </row>
    <row r="88" spans="2:11" x14ac:dyDescent="0.35">
      <c r="B88" s="7" t="s">
        <v>36</v>
      </c>
      <c r="C88" s="7"/>
      <c r="D88" s="50">
        <f>F15*D90</f>
        <v>90000.000000000015</v>
      </c>
      <c r="E88" s="52">
        <f>I9</f>
        <v>3.5000000000000003E-2</v>
      </c>
      <c r="F88" s="13">
        <f>E88*D88</f>
        <v>3150.0000000000009</v>
      </c>
      <c r="G88" s="1"/>
      <c r="H88" s="1"/>
      <c r="I88" s="1"/>
      <c r="J88" s="1"/>
      <c r="K88" s="1"/>
    </row>
    <row r="89" spans="2:11" x14ac:dyDescent="0.35">
      <c r="B89" s="261"/>
      <c r="C89" s="261"/>
      <c r="D89" s="261"/>
      <c r="E89" s="261"/>
      <c r="F89" s="261"/>
      <c r="G89" s="261"/>
      <c r="H89" s="1"/>
      <c r="I89" s="1"/>
      <c r="J89" s="1"/>
      <c r="K89" s="1"/>
    </row>
    <row r="90" spans="2:11" x14ac:dyDescent="0.35">
      <c r="B90" s="5" t="s">
        <v>79</v>
      </c>
      <c r="C90" s="5"/>
      <c r="D90" s="50">
        <f>D93*F11</f>
        <v>600000.00000000012</v>
      </c>
      <c r="E90" s="51"/>
      <c r="F90" s="53">
        <f>SUM(F86:F88)</f>
        <v>35850.000000000007</v>
      </c>
      <c r="G90" s="1"/>
      <c r="H90" s="1"/>
      <c r="I90" s="1"/>
      <c r="J90" s="1"/>
      <c r="K90" s="1"/>
    </row>
    <row r="91" spans="2:11" x14ac:dyDescent="0.35">
      <c r="B91" s="261"/>
      <c r="C91" s="261"/>
      <c r="D91" s="261"/>
      <c r="E91" s="261"/>
      <c r="F91" s="261"/>
      <c r="G91" s="261"/>
      <c r="H91" s="1"/>
      <c r="I91" s="1"/>
      <c r="J91" s="1"/>
      <c r="K91" s="1"/>
    </row>
    <row r="92" spans="2:11" x14ac:dyDescent="0.35">
      <c r="B92" s="31" t="s">
        <v>14</v>
      </c>
      <c r="C92" s="31"/>
      <c r="D92" s="31"/>
      <c r="E92" s="50"/>
      <c r="F92" s="51"/>
      <c r="G92" s="11"/>
      <c r="H92" s="1"/>
      <c r="I92" s="1"/>
      <c r="J92" s="1"/>
      <c r="K92" s="1"/>
    </row>
    <row r="93" spans="2:11" x14ac:dyDescent="0.35">
      <c r="B93" s="7" t="s">
        <v>82</v>
      </c>
      <c r="C93" s="7"/>
      <c r="D93" s="50">
        <f>F5</f>
        <v>1000000</v>
      </c>
      <c r="E93" s="52">
        <f>I5</f>
        <v>6.0000000000000001E-3</v>
      </c>
      <c r="F93" s="11">
        <f>E93*D93</f>
        <v>6000</v>
      </c>
      <c r="G93" s="1"/>
      <c r="H93" s="1"/>
      <c r="I93" s="1"/>
      <c r="J93" s="1"/>
      <c r="K93" s="1"/>
    </row>
    <row r="94" spans="2:11" x14ac:dyDescent="0.35">
      <c r="B94" s="7" t="s">
        <v>83</v>
      </c>
      <c r="C94" s="7"/>
      <c r="D94" s="50">
        <f>F18+F17</f>
        <v>752</v>
      </c>
      <c r="E94" s="11">
        <f>D41</f>
        <v>2</v>
      </c>
      <c r="F94" s="11">
        <f>E94*D94</f>
        <v>1504</v>
      </c>
      <c r="G94" s="1"/>
      <c r="H94" s="1"/>
      <c r="I94" s="1"/>
      <c r="J94" s="1"/>
      <c r="K94" s="1"/>
    </row>
    <row r="95" spans="2:11" x14ac:dyDescent="0.35">
      <c r="B95" s="7" t="s">
        <v>84</v>
      </c>
      <c r="C95" s="7"/>
      <c r="D95" s="50">
        <f>C42</f>
        <v>205</v>
      </c>
      <c r="E95" s="51">
        <f>D42</f>
        <v>3.5</v>
      </c>
      <c r="F95" s="11">
        <f>ROUND(E95*D95,0)</f>
        <v>718</v>
      </c>
      <c r="G95" s="1"/>
      <c r="H95" s="1"/>
      <c r="I95" s="1"/>
      <c r="J95" s="1"/>
      <c r="K95" s="1"/>
    </row>
    <row r="96" spans="2:11" x14ac:dyDescent="0.35">
      <c r="B96" s="7" t="s">
        <v>85</v>
      </c>
      <c r="C96" s="7"/>
      <c r="D96" s="50">
        <f>C43</f>
        <v>205</v>
      </c>
      <c r="E96" s="51">
        <f>D43</f>
        <v>3.5</v>
      </c>
      <c r="F96" s="11">
        <f>ROUND(E96*D96,0)</f>
        <v>718</v>
      </c>
      <c r="G96" s="1"/>
      <c r="H96" s="1"/>
      <c r="I96" s="1"/>
      <c r="J96" s="1"/>
      <c r="K96" s="1"/>
    </row>
    <row r="97" spans="2:11" x14ac:dyDescent="0.35">
      <c r="B97" s="7" t="s">
        <v>109</v>
      </c>
      <c r="C97" s="7"/>
      <c r="D97" s="50"/>
      <c r="E97" s="4"/>
      <c r="F97" s="11">
        <f>D45</f>
        <v>2800</v>
      </c>
      <c r="G97" s="1"/>
      <c r="H97" s="1"/>
      <c r="I97" s="1"/>
      <c r="J97" s="1"/>
      <c r="K97" s="1"/>
    </row>
    <row r="98" spans="2:11" x14ac:dyDescent="0.35">
      <c r="B98" s="7" t="s">
        <v>86</v>
      </c>
      <c r="C98" s="7"/>
      <c r="D98" s="50">
        <f>C46</f>
        <v>662</v>
      </c>
      <c r="E98" s="51">
        <f>D46</f>
        <v>1.25</v>
      </c>
      <c r="F98" s="11">
        <f>ROUND(E98*D98,0)</f>
        <v>828</v>
      </c>
      <c r="G98" s="1"/>
      <c r="H98" s="1"/>
      <c r="I98" s="1"/>
      <c r="J98" s="1"/>
      <c r="K98" s="1"/>
    </row>
    <row r="99" spans="2:11" x14ac:dyDescent="0.35">
      <c r="B99" s="7" t="s">
        <v>87</v>
      </c>
      <c r="C99" s="7"/>
      <c r="D99" s="50">
        <f>C44</f>
        <v>1</v>
      </c>
      <c r="E99" s="11">
        <f>D44</f>
        <v>100</v>
      </c>
      <c r="F99" s="11">
        <f>D99*E99</f>
        <v>100</v>
      </c>
      <c r="G99" s="1"/>
      <c r="H99" s="1"/>
      <c r="I99" s="1"/>
      <c r="J99" s="1"/>
      <c r="K99" s="1"/>
    </row>
    <row r="100" spans="2:11" x14ac:dyDescent="0.35">
      <c r="B100" s="7" t="s">
        <v>105</v>
      </c>
      <c r="C100" s="7"/>
      <c r="D100" s="50"/>
      <c r="E100" s="11"/>
      <c r="F100" s="11">
        <f>D47</f>
        <v>4400</v>
      </c>
      <c r="G100" s="1"/>
      <c r="H100" s="1"/>
      <c r="I100" s="1"/>
      <c r="J100" s="1"/>
      <c r="K100" s="1"/>
    </row>
    <row r="101" spans="2:11" x14ac:dyDescent="0.35">
      <c r="B101" s="7" t="s">
        <v>80</v>
      </c>
      <c r="C101" s="7"/>
      <c r="D101" s="50"/>
      <c r="E101" s="51"/>
      <c r="F101" s="13">
        <f>D48</f>
        <v>250</v>
      </c>
      <c r="G101" s="1"/>
      <c r="H101" s="1"/>
      <c r="I101" s="1"/>
      <c r="J101" s="1"/>
      <c r="K101" s="1"/>
    </row>
    <row r="102" spans="2:11" x14ac:dyDescent="0.35">
      <c r="B102" s="5" t="s">
        <v>37</v>
      </c>
      <c r="C102" s="5"/>
      <c r="D102" s="5"/>
      <c r="E102" s="50"/>
      <c r="F102" s="11">
        <f>SUM(F93:F101)</f>
        <v>17318</v>
      </c>
      <c r="G102" s="53"/>
      <c r="H102" s="1"/>
      <c r="I102" s="1"/>
      <c r="J102" s="1"/>
      <c r="K102" s="1"/>
    </row>
    <row r="103" spans="2:11" x14ac:dyDescent="0.35">
      <c r="B103" s="261"/>
      <c r="C103" s="261"/>
      <c r="D103" s="261"/>
      <c r="E103" s="261"/>
      <c r="F103" s="261"/>
      <c r="G103" s="261"/>
      <c r="H103" s="1"/>
      <c r="I103" s="1"/>
      <c r="J103" s="1"/>
      <c r="K103" s="1"/>
    </row>
    <row r="104" spans="2:11" x14ac:dyDescent="0.35">
      <c r="B104" s="31" t="s">
        <v>38</v>
      </c>
      <c r="C104" s="31"/>
      <c r="D104" s="31"/>
      <c r="E104" s="50"/>
      <c r="F104" s="51"/>
      <c r="G104" s="11"/>
      <c r="H104" s="1"/>
      <c r="I104" s="1"/>
      <c r="J104" s="1"/>
      <c r="K104" s="1"/>
    </row>
    <row r="105" spans="2:11" x14ac:dyDescent="0.35">
      <c r="B105" s="123" t="s">
        <v>19</v>
      </c>
      <c r="C105" s="7"/>
      <c r="D105" s="7"/>
      <c r="E105" s="6"/>
      <c r="F105" s="7"/>
      <c r="G105" s="7"/>
      <c r="H105" s="1"/>
      <c r="I105" s="1"/>
      <c r="J105" s="1"/>
      <c r="K105" s="1"/>
    </row>
    <row r="106" spans="2:11" x14ac:dyDescent="0.35">
      <c r="B106" s="7" t="s">
        <v>114</v>
      </c>
      <c r="C106" s="7"/>
      <c r="D106" s="50">
        <f t="shared" ref="D106:E110" si="2">C50</f>
        <v>1</v>
      </c>
      <c r="E106" s="11">
        <f t="shared" si="2"/>
        <v>750</v>
      </c>
      <c r="F106" s="11">
        <f>E106*D106</f>
        <v>750</v>
      </c>
      <c r="G106" s="1"/>
      <c r="H106" s="1"/>
      <c r="I106" s="1"/>
      <c r="J106" s="1"/>
      <c r="K106" s="1"/>
    </row>
    <row r="107" spans="2:11" x14ac:dyDescent="0.35">
      <c r="B107" s="7" t="s">
        <v>115</v>
      </c>
      <c r="C107" s="7"/>
      <c r="D107" s="50">
        <f t="shared" si="2"/>
        <v>1</v>
      </c>
      <c r="E107" s="11">
        <f t="shared" si="2"/>
        <v>250</v>
      </c>
      <c r="F107" s="11">
        <f>D107*E107</f>
        <v>250</v>
      </c>
      <c r="G107" s="1"/>
      <c r="H107" s="1"/>
      <c r="I107" s="1"/>
      <c r="J107" s="1"/>
      <c r="K107" s="1"/>
    </row>
    <row r="108" spans="2:11" x14ac:dyDescent="0.35">
      <c r="B108" s="7" t="s">
        <v>81</v>
      </c>
      <c r="C108" s="7"/>
      <c r="D108" s="50">
        <f t="shared" si="2"/>
        <v>1</v>
      </c>
      <c r="E108" s="11">
        <f t="shared" si="2"/>
        <v>500</v>
      </c>
      <c r="F108" s="11">
        <f>E108*D108</f>
        <v>500</v>
      </c>
      <c r="G108" s="1"/>
      <c r="H108" s="1"/>
      <c r="I108" s="1"/>
      <c r="J108" s="1"/>
      <c r="K108" s="1"/>
    </row>
    <row r="109" spans="2:11" x14ac:dyDescent="0.35">
      <c r="B109" s="7" t="s">
        <v>112</v>
      </c>
      <c r="C109" s="7"/>
      <c r="D109" s="50">
        <f t="shared" si="2"/>
        <v>1</v>
      </c>
      <c r="E109" s="11">
        <f t="shared" si="2"/>
        <v>27</v>
      </c>
      <c r="F109" s="11">
        <f>D109*E109</f>
        <v>27</v>
      </c>
      <c r="G109" s="1"/>
      <c r="H109" s="1"/>
      <c r="I109" s="1"/>
      <c r="J109" s="1"/>
      <c r="K109" s="1"/>
    </row>
    <row r="110" spans="2:11" x14ac:dyDescent="0.35">
      <c r="B110" s="7" t="s">
        <v>113</v>
      </c>
      <c r="C110" s="7"/>
      <c r="D110" s="50">
        <f t="shared" si="2"/>
        <v>1</v>
      </c>
      <c r="E110" s="11">
        <f t="shared" si="2"/>
        <v>100</v>
      </c>
      <c r="F110" s="11">
        <f>E110*D110</f>
        <v>100</v>
      </c>
      <c r="G110" s="1"/>
      <c r="H110" s="1"/>
      <c r="I110" s="1"/>
      <c r="J110" s="1"/>
      <c r="K110" s="1"/>
    </row>
    <row r="111" spans="2:11" x14ac:dyDescent="0.35">
      <c r="B111" s="261"/>
      <c r="C111" s="261"/>
      <c r="D111" s="261"/>
      <c r="E111" s="261"/>
      <c r="F111" s="261"/>
      <c r="G111" s="261"/>
      <c r="H111" s="1"/>
      <c r="I111" s="1"/>
      <c r="J111" s="1"/>
      <c r="K111" s="1"/>
    </row>
    <row r="112" spans="2:11" x14ac:dyDescent="0.35">
      <c r="B112" s="7" t="s">
        <v>39</v>
      </c>
      <c r="C112" s="7"/>
      <c r="D112" s="7"/>
      <c r="E112" s="6"/>
      <c r="F112" s="11">
        <f>ROUND(AVERAGE(G29:K29),0)</f>
        <v>918</v>
      </c>
      <c r="G112" s="1"/>
      <c r="H112" s="1"/>
      <c r="I112" s="1"/>
      <c r="J112" s="1"/>
      <c r="K112" s="1"/>
    </row>
    <row r="113" spans="2:11" x14ac:dyDescent="0.35">
      <c r="B113" s="7" t="s">
        <v>40</v>
      </c>
      <c r="C113" s="7"/>
      <c r="D113" s="7"/>
      <c r="E113" s="6"/>
      <c r="F113" s="13">
        <f>AVERAGE(E80:I80)</f>
        <v>915.46666666666681</v>
      </c>
      <c r="G113" s="1"/>
      <c r="H113" s="1"/>
      <c r="I113" s="1"/>
      <c r="J113" s="1"/>
      <c r="K113" s="1"/>
    </row>
    <row r="114" spans="2:11" x14ac:dyDescent="0.35">
      <c r="B114" s="5" t="s">
        <v>41</v>
      </c>
      <c r="C114" s="5"/>
      <c r="D114" s="5"/>
      <c r="E114" s="6"/>
      <c r="F114" s="53">
        <f>SUM(F106:F113)</f>
        <v>3460.4666666666667</v>
      </c>
      <c r="G114" s="1"/>
      <c r="H114" s="1"/>
      <c r="I114" s="1"/>
      <c r="J114" s="1"/>
      <c r="K114" s="1"/>
    </row>
    <row r="115" spans="2:11" x14ac:dyDescent="0.35">
      <c r="B115" s="5"/>
      <c r="C115" s="5"/>
      <c r="D115" s="5"/>
      <c r="E115" s="6"/>
      <c r="F115" s="53"/>
      <c r="G115" s="1"/>
      <c r="H115" s="1"/>
      <c r="I115" s="1"/>
      <c r="J115" s="1"/>
      <c r="K115" s="1"/>
    </row>
    <row r="116" spans="2:11" x14ac:dyDescent="0.35">
      <c r="B116" s="31" t="s">
        <v>90</v>
      </c>
      <c r="C116" s="31"/>
      <c r="D116" s="31"/>
      <c r="E116" s="6"/>
      <c r="F116" s="53">
        <f>F114+F102</f>
        <v>20778.466666666667</v>
      </c>
      <c r="G116" s="1"/>
      <c r="H116" s="1"/>
      <c r="I116" s="1"/>
      <c r="J116" s="1"/>
      <c r="K116" s="1"/>
    </row>
    <row r="117" spans="2:11" x14ac:dyDescent="0.35">
      <c r="B117" s="31"/>
      <c r="C117" s="31"/>
      <c r="D117" s="31"/>
      <c r="E117" s="6"/>
      <c r="F117" s="11"/>
      <c r="G117" s="1"/>
      <c r="H117" s="1"/>
      <c r="I117" s="1"/>
      <c r="J117" s="1"/>
      <c r="K117" s="1"/>
    </row>
    <row r="118" spans="2:11" x14ac:dyDescent="0.35">
      <c r="B118" s="31" t="s">
        <v>122</v>
      </c>
      <c r="C118" s="31"/>
      <c r="D118" s="31"/>
      <c r="E118" s="6"/>
      <c r="F118" s="11"/>
      <c r="G118" s="1"/>
      <c r="H118" s="1"/>
      <c r="I118" s="1"/>
      <c r="J118" s="1"/>
      <c r="K118" s="1"/>
    </row>
    <row r="119" spans="2:11" x14ac:dyDescent="0.35">
      <c r="B119" s="123" t="s">
        <v>123</v>
      </c>
      <c r="C119" s="31"/>
      <c r="D119" s="31"/>
      <c r="E119" s="6"/>
      <c r="F119" s="11"/>
      <c r="G119" s="1"/>
      <c r="H119" s="1"/>
      <c r="I119" s="1"/>
      <c r="J119" s="1"/>
      <c r="K119" s="1"/>
    </row>
    <row r="120" spans="2:11" x14ac:dyDescent="0.35">
      <c r="B120" s="5" t="s">
        <v>119</v>
      </c>
      <c r="C120" s="31"/>
      <c r="D120" s="31"/>
      <c r="E120" s="6"/>
      <c r="F120" s="11">
        <f>F90-(F116-F113)</f>
        <v>15987.000000000007</v>
      </c>
      <c r="G120" s="1"/>
      <c r="H120" s="1"/>
      <c r="I120" s="1"/>
      <c r="J120" s="1"/>
      <c r="K120" s="1"/>
    </row>
    <row r="121" spans="2:11" x14ac:dyDescent="0.35">
      <c r="B121" s="5" t="s">
        <v>120</v>
      </c>
      <c r="C121" s="31"/>
      <c r="D121" s="31"/>
      <c r="E121" s="6"/>
      <c r="F121" s="157">
        <f>(F116-F113)/D90</f>
        <v>3.3104999999999996E-2</v>
      </c>
      <c r="G121" s="1"/>
      <c r="H121" s="1"/>
      <c r="I121" s="1"/>
      <c r="J121" s="1"/>
      <c r="K121" s="1"/>
    </row>
    <row r="122" spans="2:11" x14ac:dyDescent="0.35">
      <c r="B122" s="5" t="s">
        <v>121</v>
      </c>
      <c r="C122" s="31"/>
      <c r="D122" s="31"/>
      <c r="E122" s="6"/>
      <c r="F122" s="55">
        <f>((F116-F113)/(E86*(D86/D90)+E87*(D87/D90)+E88*(D88/D90)))/D93</f>
        <v>0.33243514644351463</v>
      </c>
      <c r="G122" s="1"/>
      <c r="H122" s="1"/>
      <c r="I122" s="1"/>
      <c r="J122" s="1"/>
      <c r="K122" s="1"/>
    </row>
    <row r="123" spans="2:11" x14ac:dyDescent="0.35">
      <c r="B123" s="5"/>
      <c r="C123" s="31"/>
      <c r="D123" s="31"/>
      <c r="E123" s="6"/>
      <c r="F123" s="55"/>
      <c r="G123" s="1"/>
      <c r="H123" s="1"/>
      <c r="I123" s="1"/>
      <c r="J123" s="1"/>
      <c r="K123" s="1"/>
    </row>
    <row r="124" spans="2:11" x14ac:dyDescent="0.35">
      <c r="B124" s="158" t="s">
        <v>90</v>
      </c>
      <c r="C124" s="156"/>
      <c r="D124" s="156"/>
      <c r="E124" s="156"/>
      <c r="F124" s="156"/>
      <c r="G124" s="156"/>
      <c r="H124" s="1"/>
      <c r="I124" s="1"/>
      <c r="J124" s="1"/>
      <c r="K124" s="1"/>
    </row>
    <row r="125" spans="2:11" x14ac:dyDescent="0.35">
      <c r="B125" s="5" t="s">
        <v>42</v>
      </c>
      <c r="C125" s="5"/>
      <c r="D125" s="5"/>
      <c r="E125" s="6"/>
      <c r="F125" s="11">
        <f>F90-F116</f>
        <v>15071.53333333334</v>
      </c>
      <c r="G125" s="1"/>
      <c r="H125" s="1"/>
      <c r="I125" s="1"/>
      <c r="J125" s="1"/>
      <c r="K125" s="1"/>
    </row>
    <row r="126" spans="2:11" x14ac:dyDescent="0.35">
      <c r="B126" s="5" t="s">
        <v>43</v>
      </c>
      <c r="C126" s="5"/>
      <c r="D126" s="5"/>
      <c r="E126" s="6"/>
      <c r="F126" s="54">
        <f>F116/D90</f>
        <v>3.4630777777777774E-2</v>
      </c>
      <c r="G126" s="1"/>
      <c r="H126" s="1"/>
      <c r="I126" s="1"/>
      <c r="J126" s="1"/>
      <c r="K126" s="1"/>
    </row>
    <row r="127" spans="2:11" x14ac:dyDescent="0.35">
      <c r="B127" s="5" t="s">
        <v>44</v>
      </c>
      <c r="C127" s="5"/>
      <c r="D127" s="5"/>
      <c r="E127" s="6"/>
      <c r="F127" s="55">
        <f>(F116/(E86*(D86/D90)+E87*(D87/D90)+E88*(D88/D90)))/D93</f>
        <v>0.34775676429567642</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whole" allowBlank="1" showInputMessage="1" showErrorMessage="1" sqref="E25:E28">
      <formula1>0</formula1>
      <formula2>1</formula2>
    </dataValidation>
    <dataValidation type="whole" operator="greaterThan" allowBlank="1" showInputMessage="1" showErrorMessage="1" sqref="C22:C28 D24:D28 E24 F53:I54 E50:E54 F5 E40:E41 F47:I47 E43:E48 D75:D79 C73:C79">
      <formula1>0</formula1>
    </dataValidation>
    <dataValidation type="decimal" operator="greaterThan" allowBlank="1" showInputMessage="1" showErrorMessage="1" sqref="I7:I9 I5 F6:F7 F9:F11">
      <formula1>0</formula1>
    </dataValidation>
    <dataValidation type="decimal" operator="greaterThanOrEqual" allowBlank="1" showInputMessage="1" showErrorMessage="1" sqref="F13:F15">
      <formula1>0</formula1>
    </dataValidation>
  </dataValidations>
  <pageMargins left="0.75" right="0.75" top="1" bottom="1" header="0.5" footer="0.5"/>
  <pageSetup orientation="portrait" horizontalDpi="4294967292" verticalDpi="429496729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27"/>
  <sheetViews>
    <sheetView topLeftCell="A63" workbookViewId="0">
      <selection activeCell="B72" sqref="B72:I80"/>
    </sheetView>
  </sheetViews>
  <sheetFormatPr defaultColWidth="11" defaultRowHeight="15.5" x14ac:dyDescent="0.35"/>
  <sheetData>
    <row r="3" spans="2:11" ht="16" thickBot="1" x14ac:dyDescent="0.4">
      <c r="B3" s="1"/>
      <c r="C3" s="1"/>
      <c r="D3" s="1"/>
      <c r="E3" s="66"/>
      <c r="F3" s="37"/>
      <c r="G3" s="7"/>
      <c r="H3" s="1"/>
      <c r="I3" s="1"/>
      <c r="J3" s="1"/>
      <c r="K3" s="1"/>
    </row>
    <row r="4" spans="2:11" x14ac:dyDescent="0.35">
      <c r="B4" s="1"/>
      <c r="C4" s="1"/>
      <c r="D4" s="18" t="s">
        <v>51</v>
      </c>
      <c r="E4" s="117"/>
      <c r="F4" s="19" t="s">
        <v>50</v>
      </c>
      <c r="G4" s="1"/>
      <c r="H4" s="18" t="s">
        <v>53</v>
      </c>
      <c r="I4" s="19" t="s">
        <v>54</v>
      </c>
      <c r="J4" s="1"/>
      <c r="K4" s="1"/>
    </row>
    <row r="5" spans="2:11" x14ac:dyDescent="0.35">
      <c r="B5" s="1"/>
      <c r="C5" s="1"/>
      <c r="D5" s="239" t="s">
        <v>73</v>
      </c>
      <c r="E5" s="240"/>
      <c r="F5" s="56">
        <f>Budget!E5</f>
        <v>1000000</v>
      </c>
      <c r="G5" s="1"/>
      <c r="H5" s="22" t="s">
        <v>46</v>
      </c>
      <c r="I5" s="62">
        <f>Budget!H5</f>
        <v>6.0000000000000001E-3</v>
      </c>
      <c r="J5" s="1"/>
      <c r="K5" s="1"/>
    </row>
    <row r="6" spans="2:11" x14ac:dyDescent="0.35">
      <c r="B6" s="1"/>
      <c r="C6" s="1"/>
      <c r="D6" s="247" t="s">
        <v>60</v>
      </c>
      <c r="E6" s="248"/>
      <c r="F6" s="57">
        <f>Budget!E6</f>
        <v>10000</v>
      </c>
      <c r="G6" s="1"/>
      <c r="H6" s="43" t="s">
        <v>47</v>
      </c>
      <c r="I6" s="21">
        <f>Budget!H6</f>
        <v>0</v>
      </c>
      <c r="J6" s="1"/>
      <c r="K6" s="1"/>
    </row>
    <row r="7" spans="2:11" x14ac:dyDescent="0.35">
      <c r="B7" s="1"/>
      <c r="C7" s="1"/>
      <c r="D7" s="239" t="s">
        <v>55</v>
      </c>
      <c r="E7" s="240"/>
      <c r="F7" s="82">
        <f>Budget!E7</f>
        <v>1150</v>
      </c>
      <c r="G7" s="1"/>
      <c r="H7" s="20" t="s">
        <v>67</v>
      </c>
      <c r="I7" s="45">
        <f>Budget!H7</f>
        <v>7.0000000000000007E-2</v>
      </c>
      <c r="J7" s="1"/>
      <c r="K7" s="1"/>
    </row>
    <row r="8" spans="2:11" x14ac:dyDescent="0.35">
      <c r="B8" s="1"/>
      <c r="C8" s="1"/>
      <c r="D8" s="239" t="s">
        <v>56</v>
      </c>
      <c r="E8" s="240"/>
      <c r="F8" s="59"/>
      <c r="G8" s="1"/>
      <c r="H8" s="20" t="s">
        <v>62</v>
      </c>
      <c r="I8" s="45">
        <f>Budget!H8</f>
        <v>0.05</v>
      </c>
      <c r="J8" s="1"/>
      <c r="K8" s="1"/>
    </row>
    <row r="9" spans="2:11" ht="16" thickBot="1" x14ac:dyDescent="0.4">
      <c r="B9" s="1"/>
      <c r="C9" s="1"/>
      <c r="D9" s="237" t="s">
        <v>57</v>
      </c>
      <c r="E9" s="238"/>
      <c r="F9" s="60">
        <f>Budget!E9</f>
        <v>0.75</v>
      </c>
      <c r="G9" s="1"/>
      <c r="H9" s="44" t="s">
        <v>63</v>
      </c>
      <c r="I9" s="46">
        <f>Budget!H9</f>
        <v>3.5000000000000003E-2</v>
      </c>
      <c r="J9" s="1"/>
      <c r="K9" s="1"/>
    </row>
    <row r="10" spans="2:11" x14ac:dyDescent="0.35">
      <c r="B10" s="1"/>
      <c r="C10" s="1"/>
      <c r="D10" s="237" t="s">
        <v>58</v>
      </c>
      <c r="E10" s="238"/>
      <c r="F10" s="60">
        <f>Budget!E10</f>
        <v>0.8</v>
      </c>
      <c r="G10" s="1"/>
      <c r="H10" s="17"/>
      <c r="I10" s="1"/>
      <c r="J10" s="1"/>
      <c r="K10" s="1"/>
    </row>
    <row r="11" spans="2:11" x14ac:dyDescent="0.35">
      <c r="B11" s="1"/>
      <c r="C11" s="1"/>
      <c r="D11" s="237" t="s">
        <v>59</v>
      </c>
      <c r="E11" s="238"/>
      <c r="F11" s="132">
        <f>F9*F10</f>
        <v>0.60000000000000009</v>
      </c>
      <c r="G11" s="1"/>
      <c r="H11" s="138"/>
      <c r="I11" s="139"/>
      <c r="J11" s="1"/>
      <c r="K11" s="1"/>
    </row>
    <row r="12" spans="2:11" x14ac:dyDescent="0.35">
      <c r="B12" s="1"/>
      <c r="C12" s="1"/>
      <c r="D12" s="239" t="s">
        <v>52</v>
      </c>
      <c r="E12" s="240"/>
      <c r="F12" s="241"/>
      <c r="G12" s="1"/>
      <c r="H12" s="1"/>
      <c r="I12" s="1"/>
      <c r="J12" s="1"/>
      <c r="K12" s="1"/>
    </row>
    <row r="13" spans="2:11" x14ac:dyDescent="0.35">
      <c r="B13" s="1"/>
      <c r="C13" s="1"/>
      <c r="D13" s="237" t="s">
        <v>61</v>
      </c>
      <c r="E13" s="238"/>
      <c r="F13" s="60">
        <f>'Cash Cost Sensitivities (2)'!A25</f>
        <v>0.7</v>
      </c>
      <c r="G13" s="1"/>
      <c r="H13" s="1"/>
      <c r="I13" s="1"/>
      <c r="J13" s="1"/>
      <c r="K13" s="1"/>
    </row>
    <row r="14" spans="2:11" x14ac:dyDescent="0.35">
      <c r="B14" s="1"/>
      <c r="C14" s="1"/>
      <c r="D14" s="237" t="s">
        <v>62</v>
      </c>
      <c r="E14" s="238"/>
      <c r="F14" s="60">
        <f>'Cash Cost Sensitivities (2)'!B25</f>
        <v>0.2</v>
      </c>
      <c r="G14" s="1"/>
      <c r="H14" s="1"/>
      <c r="I14" s="1"/>
      <c r="J14" s="1"/>
      <c r="K14" s="1"/>
    </row>
    <row r="15" spans="2:11" x14ac:dyDescent="0.35">
      <c r="B15" s="1"/>
      <c r="C15" s="1"/>
      <c r="D15" s="237" t="s">
        <v>63</v>
      </c>
      <c r="E15" s="238"/>
      <c r="F15" s="105">
        <f>'Cash Cost Sensitivities (2)'!C25</f>
        <v>0.1</v>
      </c>
      <c r="G15" s="1"/>
      <c r="H15" s="1"/>
      <c r="I15" s="1"/>
      <c r="J15" s="1"/>
      <c r="K15" s="1"/>
    </row>
    <row r="16" spans="2:11" x14ac:dyDescent="0.35">
      <c r="B16" s="7"/>
      <c r="C16" s="7"/>
      <c r="D16" s="242" t="s">
        <v>103</v>
      </c>
      <c r="E16" s="243"/>
      <c r="F16" s="103"/>
      <c r="G16" s="1"/>
      <c r="H16" s="1"/>
      <c r="I16" s="1"/>
      <c r="J16" s="1"/>
      <c r="K16" s="1"/>
    </row>
    <row r="17" spans="2:11" x14ac:dyDescent="0.35">
      <c r="B17" s="1"/>
      <c r="C17" s="1"/>
      <c r="D17" s="250" t="s">
        <v>57</v>
      </c>
      <c r="E17" s="251"/>
      <c r="F17" s="106">
        <f>ROUND(F5/F6,0)</f>
        <v>100</v>
      </c>
      <c r="G17" s="1"/>
      <c r="H17" s="1"/>
      <c r="I17" s="1"/>
      <c r="J17" s="1"/>
      <c r="K17" s="1"/>
    </row>
    <row r="18" spans="2:11" ht="16" thickBot="1" x14ac:dyDescent="0.4">
      <c r="B18" s="2"/>
      <c r="C18" s="2"/>
      <c r="D18" s="252" t="s">
        <v>102</v>
      </c>
      <c r="E18" s="253"/>
      <c r="F18" s="104">
        <f>ROUND(F5*F9/F7,0)</f>
        <v>652</v>
      </c>
      <c r="G18" s="1"/>
      <c r="H18" s="1"/>
      <c r="I18" s="1"/>
      <c r="J18" s="1"/>
      <c r="K18" s="1"/>
    </row>
    <row r="19" spans="2:11" x14ac:dyDescent="0.35">
      <c r="B19" s="2"/>
      <c r="C19" s="2"/>
      <c r="D19" s="2"/>
      <c r="E19" s="14"/>
      <c r="F19" s="2"/>
      <c r="G19" s="1"/>
      <c r="H19" s="1"/>
      <c r="I19" s="1"/>
      <c r="J19" s="1"/>
      <c r="K19" s="1"/>
    </row>
    <row r="20" spans="2:11" ht="18.5" x14ac:dyDescent="0.45">
      <c r="B20" s="236" t="s">
        <v>12</v>
      </c>
      <c r="C20" s="236"/>
      <c r="D20" s="236"/>
      <c r="E20" s="236"/>
      <c r="F20" s="236"/>
      <c r="G20" s="236"/>
      <c r="H20" s="236"/>
      <c r="I20" s="236"/>
      <c r="J20" s="236"/>
      <c r="K20" s="236"/>
    </row>
    <row r="21" spans="2:11" ht="16" thickBot="1" x14ac:dyDescent="0.4">
      <c r="B21" s="23" t="s">
        <v>0</v>
      </c>
      <c r="C21" s="34" t="s">
        <v>1</v>
      </c>
      <c r="D21" s="33" t="s">
        <v>2</v>
      </c>
      <c r="E21" s="33" t="s">
        <v>72</v>
      </c>
      <c r="F21" s="33" t="s">
        <v>117</v>
      </c>
      <c r="G21" s="33" t="s">
        <v>3</v>
      </c>
      <c r="H21" s="33" t="s">
        <v>4</v>
      </c>
      <c r="I21" s="33" t="s">
        <v>5</v>
      </c>
      <c r="J21" s="33" t="s">
        <v>6</v>
      </c>
      <c r="K21" s="33" t="s">
        <v>7</v>
      </c>
    </row>
    <row r="22" spans="2:11" x14ac:dyDescent="0.35">
      <c r="B22" s="25" t="s">
        <v>8</v>
      </c>
      <c r="C22" s="68">
        <f>Budget!B22</f>
        <v>7</v>
      </c>
      <c r="D22" s="140">
        <f>Budget!C22</f>
        <v>4</v>
      </c>
      <c r="E22" s="146">
        <f>Budget!D22</f>
        <v>25</v>
      </c>
      <c r="F22" s="149">
        <f>Budget!E22</f>
        <v>175</v>
      </c>
      <c r="G22" s="149">
        <f>Budget!F22</f>
        <v>175</v>
      </c>
      <c r="H22" s="149">
        <f>Budget!G22</f>
        <v>180</v>
      </c>
      <c r="I22" s="149">
        <f>Budget!H22</f>
        <v>186</v>
      </c>
      <c r="J22" s="149">
        <f>Budget!I22</f>
        <v>191</v>
      </c>
      <c r="K22" s="149">
        <f>Budget!J22</f>
        <v>197</v>
      </c>
    </row>
    <row r="23" spans="2:11" x14ac:dyDescent="0.35">
      <c r="B23" s="16" t="s">
        <v>9</v>
      </c>
      <c r="C23" s="67">
        <f>Budget!B23</f>
        <v>6.2</v>
      </c>
      <c r="D23" s="141">
        <f>Budget!C23</f>
        <v>10</v>
      </c>
      <c r="E23" s="181">
        <f>Budget!D23</f>
        <v>65</v>
      </c>
      <c r="F23" s="150">
        <f>Budget!E23</f>
        <v>404</v>
      </c>
      <c r="G23" s="150">
        <f>Budget!F23</f>
        <v>403</v>
      </c>
      <c r="H23" s="150">
        <f>Budget!G23</f>
        <v>415</v>
      </c>
      <c r="I23" s="150">
        <f>Budget!H23</f>
        <v>428</v>
      </c>
      <c r="J23" s="150">
        <f>Budget!I23</f>
        <v>440</v>
      </c>
      <c r="K23" s="150">
        <f>Budget!J23</f>
        <v>454</v>
      </c>
    </row>
    <row r="24" spans="2:11" x14ac:dyDescent="0.35">
      <c r="B24" s="16" t="s">
        <v>10</v>
      </c>
      <c r="C24" s="67">
        <f>Budget!B24</f>
        <v>250</v>
      </c>
      <c r="D24" s="141">
        <f>Budget!C24</f>
        <v>3</v>
      </c>
      <c r="E24" s="182">
        <f>Budget!D24</f>
        <v>1</v>
      </c>
      <c r="F24" s="151">
        <f>Budget!E24</f>
        <v>0</v>
      </c>
      <c r="G24" s="150">
        <f>Budget!F24</f>
        <v>250</v>
      </c>
      <c r="H24" s="150">
        <f>Budget!G24</f>
        <v>0</v>
      </c>
      <c r="I24" s="150">
        <f>Budget!H24</f>
        <v>0</v>
      </c>
      <c r="J24" s="150">
        <f>Budget!I24</f>
        <v>273</v>
      </c>
      <c r="K24" s="150">
        <f>Budget!J24</f>
        <v>0</v>
      </c>
    </row>
    <row r="25" spans="2:11" x14ac:dyDescent="0.35">
      <c r="B25" s="16" t="s">
        <v>11</v>
      </c>
      <c r="C25" s="67">
        <f>Budget!B25</f>
        <v>18000</v>
      </c>
      <c r="D25" s="141">
        <f>Budget!C25</f>
        <v>7</v>
      </c>
      <c r="E25" s="141">
        <f>Budget!D25</f>
        <v>0</v>
      </c>
      <c r="F25" s="152">
        <f>Budget!E25</f>
        <v>0</v>
      </c>
      <c r="G25" s="150">
        <f>Budget!F25</f>
        <v>0</v>
      </c>
      <c r="H25" s="150">
        <f>Budget!G25</f>
        <v>0</v>
      </c>
      <c r="I25" s="150">
        <f>Budget!H25</f>
        <v>0</v>
      </c>
      <c r="J25" s="150">
        <f>Budget!I25</f>
        <v>0</v>
      </c>
      <c r="K25" s="150">
        <f>Budget!J25</f>
        <v>0</v>
      </c>
    </row>
    <row r="26" spans="2:11" x14ac:dyDescent="0.35">
      <c r="B26" s="16" t="s">
        <v>69</v>
      </c>
      <c r="C26" s="67">
        <f>Budget!B26</f>
        <v>28000</v>
      </c>
      <c r="D26" s="141">
        <f>Budget!C26</f>
        <v>10</v>
      </c>
      <c r="E26" s="141">
        <f>Budget!D26</f>
        <v>0</v>
      </c>
      <c r="F26" s="152">
        <f>Budget!E26</f>
        <v>0</v>
      </c>
      <c r="G26" s="150">
        <f>Budget!F26</f>
        <v>0</v>
      </c>
      <c r="H26" s="150">
        <f>Budget!G26</f>
        <v>0</v>
      </c>
      <c r="I26" s="150">
        <f>Budget!H26</f>
        <v>0</v>
      </c>
      <c r="J26" s="150">
        <f>Budget!I26</f>
        <v>0</v>
      </c>
      <c r="K26" s="150">
        <f>Budget!J26</f>
        <v>0</v>
      </c>
    </row>
    <row r="27" spans="2:11" x14ac:dyDescent="0.35">
      <c r="B27" s="16" t="s">
        <v>70</v>
      </c>
      <c r="C27" s="67">
        <f>Budget!B27</f>
        <v>10000</v>
      </c>
      <c r="D27" s="141">
        <f>Budget!C27</f>
        <v>3</v>
      </c>
      <c r="E27" s="141">
        <f>Budget!D27</f>
        <v>0</v>
      </c>
      <c r="F27" s="152">
        <f>Budget!E27</f>
        <v>0</v>
      </c>
      <c r="G27" s="150">
        <f>Budget!F27</f>
        <v>0</v>
      </c>
      <c r="H27" s="150">
        <f>Budget!G27</f>
        <v>0</v>
      </c>
      <c r="I27" s="150">
        <f>Budget!H27</f>
        <v>0</v>
      </c>
      <c r="J27" s="150">
        <f>Budget!I27</f>
        <v>0</v>
      </c>
      <c r="K27" s="150">
        <f>Budget!J27</f>
        <v>0</v>
      </c>
    </row>
    <row r="28" spans="2:11" ht="44" thickBot="1" x14ac:dyDescent="0.4">
      <c r="B28" s="98" t="s">
        <v>71</v>
      </c>
      <c r="C28" s="69">
        <f>Budget!B28</f>
        <v>1000</v>
      </c>
      <c r="D28" s="142">
        <f>Budget!C28</f>
        <v>5</v>
      </c>
      <c r="E28" s="142">
        <f>Budget!D28</f>
        <v>1</v>
      </c>
      <c r="F28" s="153">
        <f>Budget!E28</f>
        <v>0</v>
      </c>
      <c r="G28" s="154">
        <f>Budget!F28</f>
        <v>1000</v>
      </c>
      <c r="H28" s="154">
        <f>Budget!G28</f>
        <v>0</v>
      </c>
      <c r="I28" s="154">
        <f>Budget!H28</f>
        <v>0</v>
      </c>
      <c r="J28" s="154">
        <f>Budget!I28</f>
        <v>0</v>
      </c>
      <c r="K28" s="154">
        <f>Budget!J28</f>
        <v>0</v>
      </c>
    </row>
    <row r="29" spans="2:11" x14ac:dyDescent="0.35">
      <c r="B29" s="5" t="s">
        <v>45</v>
      </c>
      <c r="C29" s="6"/>
      <c r="D29" s="7"/>
      <c r="E29" s="7"/>
      <c r="F29" s="15"/>
      <c r="G29" s="15">
        <f>SUM(G22:G28)</f>
        <v>1828</v>
      </c>
      <c r="H29" s="15">
        <f>SUM(H22:H28)</f>
        <v>595</v>
      </c>
      <c r="I29" s="15">
        <f>SUM(I22:I28)</f>
        <v>614</v>
      </c>
      <c r="J29" s="15">
        <f>SUM(J22:J28)</f>
        <v>904</v>
      </c>
      <c r="K29" s="15">
        <f>SUM(K22:K28)</f>
        <v>651</v>
      </c>
    </row>
    <row r="30" spans="2:11" x14ac:dyDescent="0.35">
      <c r="B30" s="1"/>
      <c r="C30" s="1"/>
      <c r="D30" s="1"/>
      <c r="E30" s="4"/>
      <c r="F30" s="1"/>
      <c r="G30" s="1"/>
      <c r="H30" s="1"/>
      <c r="I30" s="1"/>
      <c r="J30" s="1"/>
      <c r="K30" s="1"/>
    </row>
    <row r="31" spans="2:11" x14ac:dyDescent="0.35">
      <c r="B31" s="107"/>
      <c r="C31" s="107"/>
      <c r="D31" s="107"/>
      <c r="E31" s="4"/>
      <c r="F31" s="1"/>
      <c r="G31" s="1"/>
      <c r="H31" s="1"/>
      <c r="I31" s="1"/>
      <c r="J31" s="1"/>
      <c r="K31" s="1"/>
    </row>
    <row r="32" spans="2:11" x14ac:dyDescent="0.35">
      <c r="B32" s="107"/>
      <c r="C32" s="107"/>
      <c r="D32" s="107"/>
      <c r="E32" s="4"/>
      <c r="F32" s="1"/>
      <c r="G32" s="1"/>
      <c r="H32" s="1"/>
      <c r="I32" s="1"/>
      <c r="J32" s="1"/>
      <c r="K32" s="1"/>
    </row>
    <row r="33" spans="2:11" x14ac:dyDescent="0.35">
      <c r="B33" s="107"/>
      <c r="C33" s="107"/>
      <c r="D33" s="107"/>
      <c r="E33" s="4"/>
      <c r="F33" s="1"/>
      <c r="G33" s="1"/>
      <c r="H33" s="1"/>
      <c r="I33" s="1"/>
      <c r="J33" s="1"/>
      <c r="K33" s="1"/>
    </row>
    <row r="34" spans="2:11" x14ac:dyDescent="0.35">
      <c r="B34" s="107"/>
      <c r="C34" s="107"/>
      <c r="D34" s="107"/>
      <c r="E34" s="4"/>
      <c r="F34" s="1"/>
      <c r="G34" s="1"/>
      <c r="H34" s="1"/>
      <c r="I34" s="1"/>
      <c r="J34" s="1"/>
      <c r="K34" s="1"/>
    </row>
    <row r="35" spans="2:11" x14ac:dyDescent="0.35">
      <c r="B35" s="107"/>
      <c r="C35" s="107"/>
      <c r="D35" s="107"/>
      <c r="E35" s="4"/>
      <c r="F35" s="1"/>
      <c r="G35" s="1"/>
      <c r="H35" s="1"/>
      <c r="I35" s="1"/>
      <c r="J35" s="1"/>
      <c r="K35" s="1"/>
    </row>
    <row r="36" spans="2:11" x14ac:dyDescent="0.35">
      <c r="B36" s="107"/>
      <c r="C36" s="107"/>
      <c r="D36" s="107"/>
      <c r="E36" s="4"/>
      <c r="F36" s="1"/>
      <c r="G36" s="1"/>
      <c r="H36" s="1"/>
      <c r="I36" s="1"/>
      <c r="J36" s="1"/>
      <c r="K36" s="1"/>
    </row>
    <row r="37" spans="2:11" ht="18.5" x14ac:dyDescent="0.45">
      <c r="B37" s="236" t="s">
        <v>14</v>
      </c>
      <c r="C37" s="236"/>
      <c r="D37" s="236"/>
      <c r="E37" s="236"/>
      <c r="F37" s="236"/>
      <c r="G37" s="236"/>
      <c r="H37" s="236"/>
      <c r="I37" s="236"/>
      <c r="J37" s="1"/>
      <c r="K37" s="1"/>
    </row>
    <row r="38" spans="2:11" ht="44" thickBot="1" x14ac:dyDescent="0.4">
      <c r="B38" s="33" t="s">
        <v>13</v>
      </c>
      <c r="C38" s="23" t="s">
        <v>107</v>
      </c>
      <c r="D38" s="122" t="s">
        <v>110</v>
      </c>
      <c r="E38" s="34" t="s">
        <v>3</v>
      </c>
      <c r="F38" s="33" t="s">
        <v>4</v>
      </c>
      <c r="G38" s="33" t="s">
        <v>5</v>
      </c>
      <c r="H38" s="33" t="s">
        <v>6</v>
      </c>
      <c r="I38" s="33" t="s">
        <v>7</v>
      </c>
      <c r="J38" s="1"/>
      <c r="K38" s="1"/>
    </row>
    <row r="39" spans="2:11" x14ac:dyDescent="0.35">
      <c r="B39" s="41" t="s">
        <v>14</v>
      </c>
      <c r="C39" s="1"/>
      <c r="D39" s="1"/>
      <c r="E39" s="32"/>
      <c r="F39" s="9"/>
      <c r="G39" s="9"/>
      <c r="H39" s="9"/>
      <c r="I39" s="102"/>
      <c r="J39" s="1"/>
      <c r="K39" s="1"/>
    </row>
    <row r="40" spans="2:11" x14ac:dyDescent="0.35">
      <c r="B40" s="25" t="s">
        <v>15</v>
      </c>
      <c r="C40" s="115">
        <f>F5</f>
        <v>1000000</v>
      </c>
      <c r="D40" s="118">
        <f>I5</f>
        <v>6.0000000000000001E-3</v>
      </c>
      <c r="E40" s="119">
        <f>C40*D40</f>
        <v>6000</v>
      </c>
      <c r="F40" s="30">
        <v>6000</v>
      </c>
      <c r="G40" s="30">
        <v>6000</v>
      </c>
      <c r="H40" s="30">
        <v>6000</v>
      </c>
      <c r="I40" s="30">
        <v>6000</v>
      </c>
      <c r="J40" s="12"/>
      <c r="K40" s="12"/>
    </row>
    <row r="41" spans="2:11" x14ac:dyDescent="0.35">
      <c r="B41" s="16" t="s">
        <v>108</v>
      </c>
      <c r="C41" s="116">
        <f>F17+F18</f>
        <v>752</v>
      </c>
      <c r="D41" s="67">
        <f>Budget!C35</f>
        <v>2</v>
      </c>
      <c r="E41" s="125">
        <f>C41*D41</f>
        <v>1504</v>
      </c>
      <c r="F41" s="29">
        <f>ROUND(E41+E41*0.03,0)</f>
        <v>1549</v>
      </c>
      <c r="G41" s="29">
        <f>ROUND(F41+F41*0.03,0)</f>
        <v>1595</v>
      </c>
      <c r="H41" s="29">
        <f t="shared" ref="H41:I52" si="0">ROUND(G41+G41*0.03,0)</f>
        <v>1643</v>
      </c>
      <c r="I41" s="29">
        <f t="shared" si="0"/>
        <v>1692</v>
      </c>
      <c r="J41" s="1"/>
      <c r="K41" s="1"/>
    </row>
    <row r="42" spans="2:11" x14ac:dyDescent="0.35">
      <c r="B42" s="16" t="s">
        <v>16</v>
      </c>
      <c r="C42" s="131">
        <f>Budget!B36</f>
        <v>205</v>
      </c>
      <c r="D42" s="67">
        <f>Budget!C36</f>
        <v>3.5</v>
      </c>
      <c r="E42" s="125">
        <f>C42*D42</f>
        <v>717.5</v>
      </c>
      <c r="F42" s="29">
        <f t="shared" ref="F42:G48" si="1">ROUND(E42+E42*0.03,0)</f>
        <v>739</v>
      </c>
      <c r="G42" s="29">
        <f t="shared" si="1"/>
        <v>761</v>
      </c>
      <c r="H42" s="29">
        <f t="shared" si="0"/>
        <v>784</v>
      </c>
      <c r="I42" s="29">
        <f t="shared" si="0"/>
        <v>808</v>
      </c>
      <c r="J42" s="1"/>
      <c r="K42" s="1"/>
    </row>
    <row r="43" spans="2:11" x14ac:dyDescent="0.35">
      <c r="B43" s="16" t="s">
        <v>17</v>
      </c>
      <c r="C43" s="131">
        <f>Budget!B37</f>
        <v>205</v>
      </c>
      <c r="D43" s="67">
        <f>Budget!C37</f>
        <v>3.5</v>
      </c>
      <c r="E43" s="125">
        <f>C43*D43</f>
        <v>717.5</v>
      </c>
      <c r="F43" s="29">
        <f t="shared" si="1"/>
        <v>739</v>
      </c>
      <c r="G43" s="29">
        <f t="shared" si="1"/>
        <v>761</v>
      </c>
      <c r="H43" s="29">
        <f t="shared" si="0"/>
        <v>784</v>
      </c>
      <c r="I43" s="29">
        <f t="shared" si="0"/>
        <v>808</v>
      </c>
      <c r="J43" s="1"/>
      <c r="K43" s="1"/>
    </row>
    <row r="44" spans="2:11" x14ac:dyDescent="0.35">
      <c r="B44" s="16" t="s">
        <v>18</v>
      </c>
      <c r="C44" s="164">
        <f>Budget!B38</f>
        <v>1</v>
      </c>
      <c r="D44" s="67">
        <f>Budget!C38</f>
        <v>100</v>
      </c>
      <c r="E44" s="125">
        <f>C44*D44</f>
        <v>100</v>
      </c>
      <c r="F44" s="29">
        <f t="shared" si="1"/>
        <v>103</v>
      </c>
      <c r="G44" s="29">
        <f t="shared" si="1"/>
        <v>106</v>
      </c>
      <c r="H44" s="29">
        <f t="shared" si="0"/>
        <v>109</v>
      </c>
      <c r="I44" s="29">
        <f t="shared" si="0"/>
        <v>112</v>
      </c>
      <c r="J44" s="1"/>
      <c r="K44" s="1"/>
    </row>
    <row r="45" spans="2:11" x14ac:dyDescent="0.35">
      <c r="B45" s="16" t="s">
        <v>77</v>
      </c>
      <c r="C45" s="121"/>
      <c r="D45" s="67">
        <f>Budget!C39</f>
        <v>2800</v>
      </c>
      <c r="E45" s="125">
        <f>D45</f>
        <v>2800</v>
      </c>
      <c r="F45" s="29">
        <f t="shared" si="1"/>
        <v>2884</v>
      </c>
      <c r="G45" s="29">
        <f t="shared" si="1"/>
        <v>2971</v>
      </c>
      <c r="H45" s="29">
        <f t="shared" si="0"/>
        <v>3060</v>
      </c>
      <c r="I45" s="29">
        <f t="shared" si="0"/>
        <v>3152</v>
      </c>
      <c r="J45" s="1"/>
      <c r="K45" s="1"/>
    </row>
    <row r="46" spans="2:11" x14ac:dyDescent="0.35">
      <c r="B46" s="16" t="s">
        <v>78</v>
      </c>
      <c r="C46" s="120">
        <f>ROUND(0.75*F17+0.9*F18,0)</f>
        <v>662</v>
      </c>
      <c r="D46" s="67">
        <f>Budget!C40</f>
        <v>1.25</v>
      </c>
      <c r="E46" s="125">
        <f>C46*D46</f>
        <v>827.5</v>
      </c>
      <c r="F46" s="29">
        <f t="shared" si="1"/>
        <v>852</v>
      </c>
      <c r="G46" s="29">
        <f t="shared" si="1"/>
        <v>878</v>
      </c>
      <c r="H46" s="29">
        <f t="shared" si="0"/>
        <v>904</v>
      </c>
      <c r="I46" s="29">
        <f t="shared" si="0"/>
        <v>931</v>
      </c>
      <c r="J46" s="1"/>
      <c r="K46" s="1"/>
    </row>
    <row r="47" spans="2:11" x14ac:dyDescent="0.35">
      <c r="B47" s="16" t="s">
        <v>111</v>
      </c>
      <c r="C47" s="120"/>
      <c r="D47" s="67">
        <f>Budget!C41</f>
        <v>4400</v>
      </c>
      <c r="E47" s="125">
        <f>D47</f>
        <v>4400</v>
      </c>
      <c r="F47" s="119">
        <f t="shared" si="1"/>
        <v>4532</v>
      </c>
      <c r="G47" s="119">
        <f t="shared" si="1"/>
        <v>4668</v>
      </c>
      <c r="H47" s="119">
        <f t="shared" si="0"/>
        <v>4808</v>
      </c>
      <c r="I47" s="119">
        <f t="shared" si="0"/>
        <v>4952</v>
      </c>
      <c r="J47" s="1"/>
      <c r="K47" s="1"/>
    </row>
    <row r="48" spans="2:11" x14ac:dyDescent="0.35">
      <c r="B48" s="16" t="s">
        <v>66</v>
      </c>
      <c r="C48" s="120"/>
      <c r="D48" s="67">
        <f>Budget!C42</f>
        <v>250</v>
      </c>
      <c r="E48" s="125">
        <f>D48</f>
        <v>250</v>
      </c>
      <c r="F48" s="29">
        <f t="shared" si="1"/>
        <v>258</v>
      </c>
      <c r="G48" s="29">
        <f t="shared" si="1"/>
        <v>266</v>
      </c>
      <c r="H48" s="29">
        <f t="shared" si="0"/>
        <v>274</v>
      </c>
      <c r="I48" s="29">
        <f t="shared" si="0"/>
        <v>282</v>
      </c>
      <c r="J48" s="1"/>
      <c r="K48" s="1"/>
    </row>
    <row r="49" spans="2:11" x14ac:dyDescent="0.35">
      <c r="B49" s="42" t="s">
        <v>68</v>
      </c>
      <c r="C49" s="114"/>
      <c r="D49" s="114"/>
      <c r="E49" s="126"/>
      <c r="F49" s="35"/>
      <c r="G49" s="35"/>
      <c r="H49" s="35"/>
      <c r="I49" s="36"/>
      <c r="J49" s="12"/>
      <c r="K49" s="12"/>
    </row>
    <row r="50" spans="2:11" x14ac:dyDescent="0.35">
      <c r="B50" s="16" t="s">
        <v>48</v>
      </c>
      <c r="C50" s="47">
        <f>Budget!B44</f>
        <v>1</v>
      </c>
      <c r="D50" s="47">
        <f>Budget!C44</f>
        <v>750</v>
      </c>
      <c r="E50" s="127">
        <v>750</v>
      </c>
      <c r="F50" s="29">
        <f>ROUND(E50+E50*0.03,0)</f>
        <v>773</v>
      </c>
      <c r="G50" s="29">
        <f>ROUND(F50+F50*0.03,0)</f>
        <v>796</v>
      </c>
      <c r="H50" s="29">
        <f t="shared" si="0"/>
        <v>820</v>
      </c>
      <c r="I50" s="29">
        <f t="shared" si="0"/>
        <v>845</v>
      </c>
      <c r="J50" s="1"/>
      <c r="K50" s="1"/>
    </row>
    <row r="51" spans="2:11" x14ac:dyDescent="0.35">
      <c r="B51" s="16" t="s">
        <v>49</v>
      </c>
      <c r="C51" s="47">
        <f>Budget!B45</f>
        <v>1</v>
      </c>
      <c r="D51" s="47">
        <f>Budget!C45</f>
        <v>250</v>
      </c>
      <c r="E51" s="127">
        <v>250</v>
      </c>
      <c r="F51" s="29">
        <v>250</v>
      </c>
      <c r="G51" s="29">
        <v>250</v>
      </c>
      <c r="H51" s="29">
        <v>250</v>
      </c>
      <c r="I51" s="29">
        <v>250</v>
      </c>
      <c r="J51" s="1"/>
      <c r="K51" s="1"/>
    </row>
    <row r="52" spans="2:11" x14ac:dyDescent="0.35">
      <c r="B52" s="16" t="s">
        <v>20</v>
      </c>
      <c r="C52" s="47">
        <f>Budget!B46</f>
        <v>1</v>
      </c>
      <c r="D52" s="47">
        <f>Budget!C46</f>
        <v>500</v>
      </c>
      <c r="E52" s="127">
        <v>500</v>
      </c>
      <c r="F52" s="29">
        <f>ROUND(E52+E52*0.03,0)</f>
        <v>515</v>
      </c>
      <c r="G52" s="29">
        <f>ROUND(F52+F52*0.03,0)</f>
        <v>530</v>
      </c>
      <c r="H52" s="29">
        <f t="shared" si="0"/>
        <v>546</v>
      </c>
      <c r="I52" s="29">
        <f t="shared" si="0"/>
        <v>562</v>
      </c>
      <c r="J52" s="1"/>
      <c r="K52" s="1"/>
    </row>
    <row r="53" spans="2:11" x14ac:dyDescent="0.35">
      <c r="B53" s="108" t="s">
        <v>104</v>
      </c>
      <c r="C53" s="130">
        <f>Budget!B47</f>
        <v>1</v>
      </c>
      <c r="D53" s="130">
        <f>Budget!C47</f>
        <v>27</v>
      </c>
      <c r="E53" s="128">
        <v>27</v>
      </c>
      <c r="F53" s="109">
        <v>27</v>
      </c>
      <c r="G53" s="109">
        <v>27</v>
      </c>
      <c r="H53" s="109">
        <v>27</v>
      </c>
      <c r="I53" s="109">
        <v>27</v>
      </c>
      <c r="J53" s="1"/>
      <c r="K53" s="1"/>
    </row>
    <row r="54" spans="2:11" ht="16" thickBot="1" x14ac:dyDescent="0.4">
      <c r="B54" s="27" t="s">
        <v>21</v>
      </c>
      <c r="C54" s="48">
        <f>Budget!B48</f>
        <v>1</v>
      </c>
      <c r="D54" s="48">
        <f>Budget!C48</f>
        <v>100</v>
      </c>
      <c r="E54" s="129">
        <v>100</v>
      </c>
      <c r="F54" s="110">
        <v>100</v>
      </c>
      <c r="G54" s="110">
        <v>100</v>
      </c>
      <c r="H54" s="110">
        <v>100</v>
      </c>
      <c r="I54" s="110">
        <v>100</v>
      </c>
      <c r="J54" s="1"/>
      <c r="K54" s="1"/>
    </row>
    <row r="55" spans="2:11" x14ac:dyDescent="0.35">
      <c r="B55" s="3" t="s">
        <v>22</v>
      </c>
      <c r="C55" s="3"/>
      <c r="D55" s="3"/>
      <c r="E55" s="10">
        <f>SUM(E40:E54)</f>
        <v>18943.5</v>
      </c>
      <c r="F55" s="10">
        <f>SUM(F40:F54)</f>
        <v>19321</v>
      </c>
      <c r="G55" s="10">
        <f>SUM(G40:G54)</f>
        <v>19709</v>
      </c>
      <c r="H55" s="10">
        <f>SUM(H40:H54)</f>
        <v>20109</v>
      </c>
      <c r="I55" s="10">
        <f>SUM(I40:I54)</f>
        <v>20521</v>
      </c>
      <c r="J55" s="1"/>
      <c r="K55" s="1"/>
    </row>
    <row r="56" spans="2:11" x14ac:dyDescent="0.35">
      <c r="B56" s="3"/>
      <c r="C56" s="3"/>
      <c r="D56" s="3"/>
      <c r="E56" s="10"/>
      <c r="F56" s="10"/>
      <c r="G56" s="10"/>
      <c r="H56" s="10"/>
      <c r="I56" s="10"/>
      <c r="J56" s="1"/>
      <c r="K56" s="1"/>
    </row>
    <row r="57" spans="2:11" x14ac:dyDescent="0.35">
      <c r="B57" s="3"/>
      <c r="C57" s="3"/>
      <c r="D57" s="3"/>
      <c r="E57" s="10"/>
      <c r="F57" s="10"/>
      <c r="G57" s="10"/>
      <c r="H57" s="10"/>
      <c r="I57" s="10"/>
      <c r="J57" s="1"/>
      <c r="K57" s="1"/>
    </row>
    <row r="58" spans="2:11" x14ac:dyDescent="0.35">
      <c r="B58" s="1"/>
      <c r="C58" s="1"/>
      <c r="D58" s="1"/>
      <c r="E58" s="8"/>
      <c r="F58" s="8"/>
      <c r="G58" s="8"/>
      <c r="H58" s="8"/>
      <c r="I58" s="8"/>
      <c r="J58" s="1"/>
      <c r="K58" s="1"/>
    </row>
    <row r="59" spans="2:11" ht="18.5" x14ac:dyDescent="0.45">
      <c r="B59" s="236" t="s">
        <v>76</v>
      </c>
      <c r="C59" s="236"/>
      <c r="D59" s="236"/>
      <c r="E59" s="236"/>
      <c r="F59" s="236"/>
      <c r="G59" s="236"/>
      <c r="H59" s="236"/>
      <c r="I59" s="236"/>
      <c r="J59" s="1"/>
      <c r="K59" s="1"/>
    </row>
    <row r="60" spans="2:11" ht="16" thickBot="1" x14ac:dyDescent="0.4">
      <c r="B60" s="37"/>
      <c r="C60" s="34" t="s">
        <v>3</v>
      </c>
      <c r="D60" s="33" t="s">
        <v>4</v>
      </c>
      <c r="E60" s="33" t="s">
        <v>5</v>
      </c>
      <c r="F60" s="33" t="s">
        <v>6</v>
      </c>
      <c r="G60" s="33" t="s">
        <v>7</v>
      </c>
      <c r="H60" s="1"/>
      <c r="I60" s="1"/>
      <c r="J60" s="1"/>
      <c r="K60" s="1"/>
    </row>
    <row r="61" spans="2:11" x14ac:dyDescent="0.35">
      <c r="B61" s="25" t="s">
        <v>23</v>
      </c>
      <c r="C61" s="155">
        <f>Budget!$B$56</f>
        <v>0</v>
      </c>
      <c r="D61" s="39">
        <f>C68</f>
        <v>16728.500000000007</v>
      </c>
      <c r="E61" s="39">
        <f>D68</f>
        <v>34312.500000000015</v>
      </c>
      <c r="F61" s="39">
        <f>E68</f>
        <v>51489.500000000022</v>
      </c>
      <c r="G61" s="39">
        <f>F68</f>
        <v>67976.500000000029</v>
      </c>
      <c r="H61" s="1"/>
      <c r="I61" s="1"/>
      <c r="J61" s="1"/>
      <c r="K61" s="1"/>
    </row>
    <row r="62" spans="2:11" x14ac:dyDescent="0.35">
      <c r="B62" s="16" t="s">
        <v>24</v>
      </c>
      <c r="C62" s="38">
        <f>F90</f>
        <v>37500.000000000007</v>
      </c>
      <c r="D62" s="38">
        <f>F90</f>
        <v>37500.000000000007</v>
      </c>
      <c r="E62" s="38">
        <f>F90</f>
        <v>37500.000000000007</v>
      </c>
      <c r="F62" s="38">
        <f>F90</f>
        <v>37500.000000000007</v>
      </c>
      <c r="G62" s="38">
        <f>F90</f>
        <v>37500.000000000007</v>
      </c>
      <c r="H62" s="1"/>
      <c r="I62" s="1"/>
      <c r="J62" s="1"/>
      <c r="K62" s="1"/>
    </row>
    <row r="63" spans="2:11" x14ac:dyDescent="0.35">
      <c r="B63" s="16" t="s">
        <v>25</v>
      </c>
      <c r="C63" s="38"/>
      <c r="D63" s="38"/>
      <c r="E63" s="38"/>
      <c r="F63" s="38"/>
      <c r="G63" s="38"/>
      <c r="H63" s="1"/>
      <c r="I63" s="1"/>
      <c r="J63" s="1"/>
      <c r="K63" s="1"/>
    </row>
    <row r="64" spans="2:11" x14ac:dyDescent="0.35">
      <c r="B64" s="16" t="s">
        <v>64</v>
      </c>
      <c r="C64" s="38">
        <f>E55</f>
        <v>18943.5</v>
      </c>
      <c r="D64" s="38">
        <f>F55</f>
        <v>19321</v>
      </c>
      <c r="E64" s="38">
        <f>G55</f>
        <v>19709</v>
      </c>
      <c r="F64" s="38">
        <f>H55</f>
        <v>20109</v>
      </c>
      <c r="G64" s="38">
        <f>I55</f>
        <v>20521</v>
      </c>
      <c r="H64" s="1"/>
      <c r="I64" s="1"/>
      <c r="J64" s="1"/>
      <c r="K64" s="1"/>
    </row>
    <row r="65" spans="2:11" x14ac:dyDescent="0.35">
      <c r="B65" s="16" t="s">
        <v>65</v>
      </c>
      <c r="C65" s="38">
        <f>G29</f>
        <v>1828</v>
      </c>
      <c r="D65" s="38">
        <f>H29</f>
        <v>595</v>
      </c>
      <c r="E65" s="38">
        <f>I29</f>
        <v>614</v>
      </c>
      <c r="F65" s="38">
        <f>J29</f>
        <v>904</v>
      </c>
      <c r="G65" s="38">
        <f>K29</f>
        <v>651</v>
      </c>
      <c r="H65" s="1"/>
      <c r="I65" s="1"/>
      <c r="J65" s="1"/>
      <c r="K65" s="1"/>
    </row>
    <row r="66" spans="2:11" x14ac:dyDescent="0.35">
      <c r="B66" s="16" t="s">
        <v>28</v>
      </c>
      <c r="C66" s="38">
        <f>C64+C65</f>
        <v>20771.5</v>
      </c>
      <c r="D66" s="38">
        <f>D64+D65</f>
        <v>19916</v>
      </c>
      <c r="E66" s="38">
        <f>E64+E65</f>
        <v>20323</v>
      </c>
      <c r="F66" s="38">
        <f>F64+F65</f>
        <v>21013</v>
      </c>
      <c r="G66" s="38">
        <f>G64+G65</f>
        <v>21172</v>
      </c>
      <c r="H66" s="1"/>
      <c r="I66" s="1"/>
      <c r="J66" s="1"/>
      <c r="K66" s="1"/>
    </row>
    <row r="67" spans="2:11" x14ac:dyDescent="0.35">
      <c r="B67" s="16" t="s">
        <v>26</v>
      </c>
      <c r="C67" s="38">
        <f>C62-C66</f>
        <v>16728.500000000007</v>
      </c>
      <c r="D67" s="38">
        <f>D62-D66</f>
        <v>17584.000000000007</v>
      </c>
      <c r="E67" s="38">
        <f>E62-E66</f>
        <v>17177.000000000007</v>
      </c>
      <c r="F67" s="38">
        <f>F62-F66</f>
        <v>16487.000000000007</v>
      </c>
      <c r="G67" s="38">
        <f>G62-G66</f>
        <v>16328.000000000007</v>
      </c>
      <c r="H67" s="1"/>
      <c r="I67" s="1"/>
      <c r="J67" s="1"/>
      <c r="K67" s="1"/>
    </row>
    <row r="68" spans="2:11" x14ac:dyDescent="0.35">
      <c r="B68" s="16" t="s">
        <v>27</v>
      </c>
      <c r="C68" s="38">
        <f>C61+C67</f>
        <v>16728.500000000007</v>
      </c>
      <c r="D68" s="38">
        <f>D61+D67</f>
        <v>34312.500000000015</v>
      </c>
      <c r="E68" s="38">
        <f>E61+E67</f>
        <v>51489.500000000022</v>
      </c>
      <c r="F68" s="38">
        <f>F61+F67</f>
        <v>67976.500000000029</v>
      </c>
      <c r="G68" s="38">
        <f>G61+G67</f>
        <v>84304.500000000029</v>
      </c>
      <c r="H68" s="1"/>
      <c r="I68" s="1"/>
      <c r="J68" s="1"/>
      <c r="K68" s="1"/>
    </row>
    <row r="69" spans="2:11" x14ac:dyDescent="0.35">
      <c r="B69" s="7"/>
      <c r="C69" s="7"/>
      <c r="D69" s="7"/>
      <c r="E69" s="40"/>
      <c r="F69" s="40"/>
      <c r="G69" s="40"/>
      <c r="H69" s="40"/>
      <c r="I69" s="40"/>
      <c r="J69" s="1"/>
      <c r="K69" s="1"/>
    </row>
    <row r="70" spans="2:11" ht="21.5" x14ac:dyDescent="0.75">
      <c r="B70" s="107"/>
      <c r="C70" s="107"/>
      <c r="D70" s="107"/>
      <c r="E70" s="244" t="s">
        <v>118</v>
      </c>
      <c r="F70" s="244"/>
      <c r="G70" s="1"/>
      <c r="H70" s="1"/>
      <c r="I70" s="1"/>
      <c r="J70" s="1"/>
      <c r="K70" s="1"/>
    </row>
    <row r="71" spans="2:11" x14ac:dyDescent="0.35">
      <c r="B71" s="107"/>
      <c r="C71" s="107"/>
      <c r="D71" s="107"/>
      <c r="E71" s="145"/>
      <c r="F71" s="145"/>
      <c r="G71" s="1"/>
      <c r="H71" s="1"/>
      <c r="I71" s="1"/>
      <c r="J71" s="1"/>
      <c r="K71" s="1"/>
    </row>
    <row r="72" spans="2:11" ht="16" thickBot="1" x14ac:dyDescent="0.4">
      <c r="B72" s="23" t="str">
        <f>Budget!A68</f>
        <v>Capital Item</v>
      </c>
      <c r="C72" s="34" t="str">
        <f>Budget!B68</f>
        <v>Unit Cost</v>
      </c>
      <c r="D72" s="33" t="str">
        <f>Budget!C68</f>
        <v>Years of Life</v>
      </c>
      <c r="E72" s="33" t="str">
        <f>Budget!D68</f>
        <v>Year 1</v>
      </c>
      <c r="F72" s="33" t="str">
        <f>Budget!E68</f>
        <v>Year 2</v>
      </c>
      <c r="G72" s="33" t="str">
        <f>Budget!F68</f>
        <v>Year 3</v>
      </c>
      <c r="H72" s="33" t="str">
        <f>Budget!G68</f>
        <v>Year 4</v>
      </c>
      <c r="I72" s="33" t="str">
        <f>Budget!H68</f>
        <v>Year 5</v>
      </c>
      <c r="J72" s="1"/>
      <c r="K72" s="1"/>
    </row>
    <row r="73" spans="2:11" x14ac:dyDescent="0.35">
      <c r="B73" s="25" t="str">
        <f>Budget!A69</f>
        <v>Nursery Bag</v>
      </c>
      <c r="C73" s="144">
        <f>Budget!B69</f>
        <v>7</v>
      </c>
      <c r="D73" s="140">
        <f>Budget!C69</f>
        <v>4</v>
      </c>
      <c r="E73" s="26">
        <f>Budget!D69</f>
        <v>175</v>
      </c>
      <c r="F73" s="26">
        <f>Budget!E69</f>
        <v>180</v>
      </c>
      <c r="G73" s="26">
        <f>Budget!F69</f>
        <v>185</v>
      </c>
      <c r="H73" s="26">
        <f>Budget!G69</f>
        <v>191</v>
      </c>
      <c r="I73" s="26">
        <f>Budget!H69</f>
        <v>197</v>
      </c>
      <c r="J73" s="1"/>
      <c r="K73" s="1"/>
    </row>
    <row r="74" spans="2:11" x14ac:dyDescent="0.35">
      <c r="B74" s="16" t="str">
        <f>Budget!A70</f>
        <v>Growout Bag</v>
      </c>
      <c r="C74" s="144">
        <f>Budget!B70</f>
        <v>6.2</v>
      </c>
      <c r="D74" s="141">
        <f>Budget!C70</f>
        <v>10</v>
      </c>
      <c r="E74" s="26">
        <f>Budget!D70</f>
        <v>404</v>
      </c>
      <c r="F74" s="26">
        <f>Budget!E70</f>
        <v>416</v>
      </c>
      <c r="G74" s="26">
        <f>Budget!F70</f>
        <v>428</v>
      </c>
      <c r="H74" s="26">
        <f>Budget!G70</f>
        <v>441</v>
      </c>
      <c r="I74" s="26">
        <f>Budget!H70</f>
        <v>454</v>
      </c>
      <c r="J74" s="1"/>
      <c r="K74" s="1"/>
    </row>
    <row r="75" spans="2:11" x14ac:dyDescent="0.35">
      <c r="B75" s="16" t="str">
        <f>Budget!A71</f>
        <v>Wet Suit</v>
      </c>
      <c r="C75" s="144">
        <f>Budget!B71</f>
        <v>250</v>
      </c>
      <c r="D75" s="141">
        <f>Budget!C71</f>
        <v>3</v>
      </c>
      <c r="E75" s="24">
        <f>Budget!D71</f>
        <v>83.333333333333329</v>
      </c>
      <c r="F75" s="24">
        <f>Budget!E71</f>
        <v>86</v>
      </c>
      <c r="G75" s="24">
        <f>Budget!F71</f>
        <v>89</v>
      </c>
      <c r="H75" s="24">
        <f>Budget!G71</f>
        <v>92</v>
      </c>
      <c r="I75" s="24">
        <f>Budget!H71</f>
        <v>95</v>
      </c>
      <c r="J75" s="1"/>
      <c r="K75" s="1"/>
    </row>
    <row r="76" spans="2:11" x14ac:dyDescent="0.35">
      <c r="B76" s="16" t="str">
        <f>Budget!A72</f>
        <v>Boat</v>
      </c>
      <c r="C76" s="144">
        <f>Budget!B72</f>
        <v>18000</v>
      </c>
      <c r="D76" s="141">
        <f>Budget!C72</f>
        <v>7</v>
      </c>
      <c r="E76" s="24">
        <f>Budget!D72</f>
        <v>0</v>
      </c>
      <c r="F76" s="24">
        <f>Budget!E72</f>
        <v>0</v>
      </c>
      <c r="G76" s="24">
        <f>Budget!F72</f>
        <v>0</v>
      </c>
      <c r="H76" s="24">
        <f>Budget!G72</f>
        <v>0</v>
      </c>
      <c r="I76" s="24">
        <f>Budget!H72</f>
        <v>0</v>
      </c>
      <c r="J76" s="1"/>
      <c r="K76" s="1"/>
    </row>
    <row r="77" spans="2:11" x14ac:dyDescent="0.35">
      <c r="B77" s="16" t="str">
        <f>Budget!A73</f>
        <v>Truck</v>
      </c>
      <c r="C77" s="144">
        <f>Budget!B73</f>
        <v>28000</v>
      </c>
      <c r="D77" s="141">
        <f>Budget!C73</f>
        <v>10</v>
      </c>
      <c r="E77" s="24">
        <f>Budget!D73</f>
        <v>0</v>
      </c>
      <c r="F77" s="24">
        <f>Budget!E73</f>
        <v>0</v>
      </c>
      <c r="G77" s="24">
        <f>Budget!F73</f>
        <v>0</v>
      </c>
      <c r="H77" s="24">
        <f>Budget!G73</f>
        <v>0</v>
      </c>
      <c r="I77" s="24">
        <f>Budget!H73</f>
        <v>0</v>
      </c>
      <c r="J77" s="1"/>
      <c r="K77" s="1"/>
    </row>
    <row r="78" spans="2:11" x14ac:dyDescent="0.35">
      <c r="B78" s="16" t="str">
        <f>Budget!A74</f>
        <v>Motor</v>
      </c>
      <c r="C78" s="144">
        <f>Budget!B74</f>
        <v>10000</v>
      </c>
      <c r="D78" s="141">
        <f>Budget!C74</f>
        <v>3</v>
      </c>
      <c r="E78" s="24">
        <f>Budget!D74</f>
        <v>0</v>
      </c>
      <c r="F78" s="24">
        <f>Budget!E74</f>
        <v>0</v>
      </c>
      <c r="G78" s="24">
        <f>Budget!F74</f>
        <v>0</v>
      </c>
      <c r="H78" s="24">
        <f>Budget!G74</f>
        <v>0</v>
      </c>
      <c r="I78" s="24">
        <f>Budget!H74</f>
        <v>0</v>
      </c>
      <c r="J78" s="1"/>
      <c r="K78" s="1"/>
    </row>
    <row r="79" spans="2:11" ht="44" thickBot="1" x14ac:dyDescent="0.4">
      <c r="B79" s="98" t="str">
        <f>Budget!A75</f>
        <v>Winch/Davit/Boom/Pulley/Batteries</v>
      </c>
      <c r="C79" s="129">
        <f>Budget!B75</f>
        <v>1000</v>
      </c>
      <c r="D79" s="142">
        <f>Budget!C75</f>
        <v>5</v>
      </c>
      <c r="E79" s="28">
        <f>Budget!D75</f>
        <v>200</v>
      </c>
      <c r="F79" s="28">
        <f>Budget!E75</f>
        <v>206</v>
      </c>
      <c r="G79" s="28">
        <f>Budget!F75</f>
        <v>212</v>
      </c>
      <c r="H79" s="28">
        <f>Budget!G75</f>
        <v>218</v>
      </c>
      <c r="I79" s="28">
        <f>Budget!H75</f>
        <v>225</v>
      </c>
      <c r="J79" s="1"/>
      <c r="K79" s="1"/>
    </row>
    <row r="80" spans="2:11" x14ac:dyDescent="0.35">
      <c r="B80" s="5" t="str">
        <f>Budget!A76</f>
        <v xml:space="preserve">Total Investment </v>
      </c>
      <c r="C80" s="6">
        <f>Budget!B76</f>
        <v>0</v>
      </c>
      <c r="D80" s="7">
        <f>Budget!C76</f>
        <v>0</v>
      </c>
      <c r="E80" s="15">
        <f>Budget!D76</f>
        <v>862.33333333333337</v>
      </c>
      <c r="F80" s="15">
        <f>Budget!E76</f>
        <v>888</v>
      </c>
      <c r="G80" s="15">
        <f>Budget!F76</f>
        <v>914</v>
      </c>
      <c r="H80" s="15">
        <f>Budget!G76</f>
        <v>942</v>
      </c>
      <c r="I80" s="15">
        <f>Budget!H76</f>
        <v>971</v>
      </c>
      <c r="J80" s="1"/>
      <c r="K80" s="1"/>
    </row>
    <row r="81" spans="2:11" x14ac:dyDescent="0.35">
      <c r="B81" s="7"/>
      <c r="C81" s="7"/>
      <c r="D81" s="7"/>
      <c r="E81" s="40"/>
      <c r="F81" s="40"/>
      <c r="G81" s="40"/>
      <c r="H81" s="40"/>
      <c r="I81" s="40"/>
      <c r="J81" s="1"/>
      <c r="K81" s="1"/>
    </row>
    <row r="82" spans="2:11" x14ac:dyDescent="0.35">
      <c r="B82" s="1"/>
      <c r="C82" s="1"/>
      <c r="D82" s="1"/>
      <c r="E82" s="4"/>
      <c r="F82" s="1"/>
      <c r="G82" s="1"/>
      <c r="H82" s="1"/>
      <c r="I82" s="1"/>
      <c r="J82" s="1"/>
      <c r="K82" s="1"/>
    </row>
    <row r="83" spans="2:11" ht="18.5" x14ac:dyDescent="0.45">
      <c r="B83" s="236" t="s">
        <v>75</v>
      </c>
      <c r="C83" s="236"/>
      <c r="D83" s="236"/>
      <c r="E83" s="236"/>
      <c r="F83" s="236"/>
      <c r="G83" s="236"/>
      <c r="H83" s="143"/>
      <c r="I83" s="143"/>
      <c r="J83" s="1"/>
      <c r="K83" s="1"/>
    </row>
    <row r="84" spans="2:11" ht="16" thickBot="1" x14ac:dyDescent="0.4">
      <c r="B84" s="33" t="s">
        <v>29</v>
      </c>
      <c r="C84" s="33"/>
      <c r="D84" s="34" t="s">
        <v>30</v>
      </c>
      <c r="E84" s="33" t="s">
        <v>31</v>
      </c>
      <c r="F84" s="33" t="s">
        <v>32</v>
      </c>
      <c r="G84" s="1"/>
      <c r="H84" s="1"/>
      <c r="I84" s="1"/>
      <c r="J84" s="1"/>
      <c r="K84" s="1"/>
    </row>
    <row r="85" spans="2:11" x14ac:dyDescent="0.35">
      <c r="B85" s="31" t="s">
        <v>33</v>
      </c>
      <c r="C85" s="31"/>
      <c r="D85" s="6"/>
      <c r="E85" s="7"/>
      <c r="F85" s="7"/>
      <c r="G85" s="1"/>
      <c r="H85" s="1"/>
      <c r="I85" s="1"/>
      <c r="J85" s="1"/>
      <c r="K85" s="1"/>
    </row>
    <row r="86" spans="2:11" x14ac:dyDescent="0.35">
      <c r="B86" s="7" t="s">
        <v>34</v>
      </c>
      <c r="C86" s="7"/>
      <c r="D86" s="50">
        <f>F13*D90</f>
        <v>420000.00000000006</v>
      </c>
      <c r="E86" s="51">
        <f>I7</f>
        <v>7.0000000000000007E-2</v>
      </c>
      <c r="F86" s="11">
        <f>E86*D86</f>
        <v>29400.000000000007</v>
      </c>
      <c r="G86" s="1"/>
      <c r="H86" s="1"/>
      <c r="I86" s="1"/>
      <c r="J86" s="1"/>
      <c r="K86" s="1"/>
    </row>
    <row r="87" spans="2:11" x14ac:dyDescent="0.35">
      <c r="B87" s="7" t="s">
        <v>35</v>
      </c>
      <c r="C87" s="7"/>
      <c r="D87" s="50">
        <f>F14*D90</f>
        <v>120000.00000000003</v>
      </c>
      <c r="E87" s="51">
        <f>I8</f>
        <v>0.05</v>
      </c>
      <c r="F87" s="11">
        <f>E87*D87</f>
        <v>6000.0000000000018</v>
      </c>
      <c r="G87" s="1"/>
      <c r="H87" s="1"/>
      <c r="I87" s="1"/>
      <c r="J87" s="1"/>
      <c r="K87" s="1"/>
    </row>
    <row r="88" spans="2:11" x14ac:dyDescent="0.35">
      <c r="B88" s="7" t="s">
        <v>36</v>
      </c>
      <c r="C88" s="7"/>
      <c r="D88" s="50">
        <f>F15*D90</f>
        <v>60000.000000000015</v>
      </c>
      <c r="E88" s="52">
        <f>I9</f>
        <v>3.5000000000000003E-2</v>
      </c>
      <c r="F88" s="13">
        <f>E88*D88</f>
        <v>2100.0000000000009</v>
      </c>
      <c r="G88" s="1"/>
      <c r="H88" s="1"/>
      <c r="I88" s="1"/>
      <c r="J88" s="1"/>
      <c r="K88" s="1"/>
    </row>
    <row r="89" spans="2:11" x14ac:dyDescent="0.35">
      <c r="B89" s="261"/>
      <c r="C89" s="261"/>
      <c r="D89" s="261"/>
      <c r="E89" s="261"/>
      <c r="F89" s="261"/>
      <c r="G89" s="261"/>
      <c r="H89" s="1"/>
      <c r="I89" s="1"/>
      <c r="J89" s="1"/>
      <c r="K89" s="1"/>
    </row>
    <row r="90" spans="2:11" x14ac:dyDescent="0.35">
      <c r="B90" s="5" t="s">
        <v>79</v>
      </c>
      <c r="C90" s="5"/>
      <c r="D90" s="50">
        <f>D93*F11</f>
        <v>600000.00000000012</v>
      </c>
      <c r="E90" s="51"/>
      <c r="F90" s="53">
        <f>SUM(F86:F88)</f>
        <v>37500.000000000007</v>
      </c>
      <c r="G90" s="1"/>
      <c r="H90" s="1"/>
      <c r="I90" s="1"/>
      <c r="J90" s="1"/>
      <c r="K90" s="1"/>
    </row>
    <row r="91" spans="2:11" x14ac:dyDescent="0.35">
      <c r="B91" s="261"/>
      <c r="C91" s="261"/>
      <c r="D91" s="261"/>
      <c r="E91" s="261"/>
      <c r="F91" s="261"/>
      <c r="G91" s="261"/>
      <c r="H91" s="1"/>
      <c r="I91" s="1"/>
      <c r="J91" s="1"/>
      <c r="K91" s="1"/>
    </row>
    <row r="92" spans="2:11" x14ac:dyDescent="0.35">
      <c r="B92" s="31" t="s">
        <v>14</v>
      </c>
      <c r="C92" s="31"/>
      <c r="D92" s="31"/>
      <c r="E92" s="50"/>
      <c r="F92" s="51"/>
      <c r="G92" s="11"/>
      <c r="H92" s="1"/>
      <c r="I92" s="1"/>
      <c r="J92" s="1"/>
      <c r="K92" s="1"/>
    </row>
    <row r="93" spans="2:11" x14ac:dyDescent="0.35">
      <c r="B93" s="7" t="s">
        <v>82</v>
      </c>
      <c r="C93" s="7"/>
      <c r="D93" s="50">
        <f>F5</f>
        <v>1000000</v>
      </c>
      <c r="E93" s="52">
        <f>I5</f>
        <v>6.0000000000000001E-3</v>
      </c>
      <c r="F93" s="11">
        <f>E93*D93</f>
        <v>6000</v>
      </c>
      <c r="G93" s="1"/>
      <c r="H93" s="1"/>
      <c r="I93" s="1"/>
      <c r="J93" s="1"/>
      <c r="K93" s="1"/>
    </row>
    <row r="94" spans="2:11" x14ac:dyDescent="0.35">
      <c r="B94" s="7" t="s">
        <v>83</v>
      </c>
      <c r="C94" s="7"/>
      <c r="D94" s="50">
        <f>F18+F17</f>
        <v>752</v>
      </c>
      <c r="E94" s="11">
        <f>D41</f>
        <v>2</v>
      </c>
      <c r="F94" s="11">
        <f>E94*D94</f>
        <v>1504</v>
      </c>
      <c r="G94" s="1"/>
      <c r="H94" s="1"/>
      <c r="I94" s="1"/>
      <c r="J94" s="1"/>
      <c r="K94" s="1"/>
    </row>
    <row r="95" spans="2:11" x14ac:dyDescent="0.35">
      <c r="B95" s="7" t="s">
        <v>84</v>
      </c>
      <c r="C95" s="7"/>
      <c r="D95" s="50">
        <f>C42</f>
        <v>205</v>
      </c>
      <c r="E95" s="51">
        <f>D42</f>
        <v>3.5</v>
      </c>
      <c r="F95" s="11">
        <f>ROUND(E95*D95,0)</f>
        <v>718</v>
      </c>
      <c r="G95" s="1"/>
      <c r="H95" s="1"/>
      <c r="I95" s="1"/>
      <c r="J95" s="1"/>
      <c r="K95" s="1"/>
    </row>
    <row r="96" spans="2:11" x14ac:dyDescent="0.35">
      <c r="B96" s="7" t="s">
        <v>85</v>
      </c>
      <c r="C96" s="7"/>
      <c r="D96" s="50">
        <f>C43</f>
        <v>205</v>
      </c>
      <c r="E96" s="51">
        <f>D43</f>
        <v>3.5</v>
      </c>
      <c r="F96" s="11">
        <f>ROUND(E96*D96,0)</f>
        <v>718</v>
      </c>
      <c r="G96" s="1"/>
      <c r="H96" s="1"/>
      <c r="I96" s="1"/>
      <c r="J96" s="1"/>
      <c r="K96" s="1"/>
    </row>
    <row r="97" spans="2:11" x14ac:dyDescent="0.35">
      <c r="B97" s="7" t="s">
        <v>109</v>
      </c>
      <c r="C97" s="7"/>
      <c r="D97" s="50"/>
      <c r="E97" s="4"/>
      <c r="F97" s="11">
        <f>D45</f>
        <v>2800</v>
      </c>
      <c r="G97" s="1"/>
      <c r="H97" s="1"/>
      <c r="I97" s="1"/>
      <c r="J97" s="1"/>
      <c r="K97" s="1"/>
    </row>
    <row r="98" spans="2:11" x14ac:dyDescent="0.35">
      <c r="B98" s="7" t="s">
        <v>86</v>
      </c>
      <c r="C98" s="7"/>
      <c r="D98" s="50">
        <f>C46</f>
        <v>662</v>
      </c>
      <c r="E98" s="51">
        <f>D46</f>
        <v>1.25</v>
      </c>
      <c r="F98" s="11">
        <f>ROUND(E98*D98,0)</f>
        <v>828</v>
      </c>
      <c r="G98" s="1"/>
      <c r="H98" s="1"/>
      <c r="I98" s="1"/>
      <c r="J98" s="1"/>
      <c r="K98" s="1"/>
    </row>
    <row r="99" spans="2:11" x14ac:dyDescent="0.35">
      <c r="B99" s="7" t="s">
        <v>87</v>
      </c>
      <c r="C99" s="7"/>
      <c r="D99" s="50">
        <f>C44</f>
        <v>1</v>
      </c>
      <c r="E99" s="11">
        <f>D44</f>
        <v>100</v>
      </c>
      <c r="F99" s="11">
        <f>D99*E99</f>
        <v>100</v>
      </c>
      <c r="G99" s="1"/>
      <c r="H99" s="1"/>
      <c r="I99" s="1"/>
      <c r="J99" s="1"/>
      <c r="K99" s="1"/>
    </row>
    <row r="100" spans="2:11" x14ac:dyDescent="0.35">
      <c r="B100" s="7" t="s">
        <v>105</v>
      </c>
      <c r="C100" s="7"/>
      <c r="D100" s="50"/>
      <c r="E100" s="11"/>
      <c r="F100" s="11">
        <f>D47</f>
        <v>4400</v>
      </c>
      <c r="G100" s="1"/>
      <c r="H100" s="1"/>
      <c r="I100" s="1"/>
      <c r="J100" s="1"/>
      <c r="K100" s="1"/>
    </row>
    <row r="101" spans="2:11" x14ac:dyDescent="0.35">
      <c r="B101" s="7" t="s">
        <v>80</v>
      </c>
      <c r="C101" s="7"/>
      <c r="D101" s="50"/>
      <c r="E101" s="51"/>
      <c r="F101" s="13">
        <f>D48</f>
        <v>250</v>
      </c>
      <c r="G101" s="1"/>
      <c r="H101" s="1"/>
      <c r="I101" s="1"/>
      <c r="J101" s="1"/>
      <c r="K101" s="1"/>
    </row>
    <row r="102" spans="2:11" x14ac:dyDescent="0.35">
      <c r="B102" s="5" t="s">
        <v>37</v>
      </c>
      <c r="C102" s="5"/>
      <c r="D102" s="5"/>
      <c r="E102" s="50"/>
      <c r="F102" s="11">
        <f>SUM(F93:F101)</f>
        <v>17318</v>
      </c>
      <c r="G102" s="53"/>
      <c r="H102" s="1"/>
      <c r="I102" s="1"/>
      <c r="J102" s="1"/>
      <c r="K102" s="1"/>
    </row>
    <row r="103" spans="2:11" x14ac:dyDescent="0.35">
      <c r="B103" s="261"/>
      <c r="C103" s="261"/>
      <c r="D103" s="261"/>
      <c r="E103" s="261"/>
      <c r="F103" s="261"/>
      <c r="G103" s="261"/>
      <c r="H103" s="1"/>
      <c r="I103" s="1"/>
      <c r="J103" s="1"/>
      <c r="K103" s="1"/>
    </row>
    <row r="104" spans="2:11" x14ac:dyDescent="0.35">
      <c r="B104" s="31" t="s">
        <v>38</v>
      </c>
      <c r="C104" s="31"/>
      <c r="D104" s="31"/>
      <c r="E104" s="50"/>
      <c r="F104" s="51"/>
      <c r="G104" s="11"/>
      <c r="H104" s="1"/>
      <c r="I104" s="1"/>
      <c r="J104" s="1"/>
      <c r="K104" s="1"/>
    </row>
    <row r="105" spans="2:11" x14ac:dyDescent="0.35">
      <c r="B105" s="123" t="s">
        <v>19</v>
      </c>
      <c r="C105" s="7"/>
      <c r="D105" s="7"/>
      <c r="E105" s="6"/>
      <c r="F105" s="7"/>
      <c r="G105" s="7"/>
      <c r="H105" s="1"/>
      <c r="I105" s="1"/>
      <c r="J105" s="1"/>
      <c r="K105" s="1"/>
    </row>
    <row r="106" spans="2:11" x14ac:dyDescent="0.35">
      <c r="B106" s="7" t="s">
        <v>114</v>
      </c>
      <c r="C106" s="7"/>
      <c r="D106" s="50">
        <f t="shared" ref="D106:E110" si="2">C50</f>
        <v>1</v>
      </c>
      <c r="E106" s="11">
        <f t="shared" si="2"/>
        <v>750</v>
      </c>
      <c r="F106" s="11">
        <f>E106*D106</f>
        <v>750</v>
      </c>
      <c r="G106" s="1"/>
      <c r="H106" s="1"/>
      <c r="I106" s="1"/>
      <c r="J106" s="1"/>
      <c r="K106" s="1"/>
    </row>
    <row r="107" spans="2:11" x14ac:dyDescent="0.35">
      <c r="B107" s="7" t="s">
        <v>115</v>
      </c>
      <c r="C107" s="7"/>
      <c r="D107" s="50">
        <f t="shared" si="2"/>
        <v>1</v>
      </c>
      <c r="E107" s="11">
        <f t="shared" si="2"/>
        <v>250</v>
      </c>
      <c r="F107" s="11">
        <f>D107*E107</f>
        <v>250</v>
      </c>
      <c r="G107" s="1"/>
      <c r="H107" s="1"/>
      <c r="I107" s="1"/>
      <c r="J107" s="1"/>
      <c r="K107" s="1"/>
    </row>
    <row r="108" spans="2:11" x14ac:dyDescent="0.35">
      <c r="B108" s="7" t="s">
        <v>81</v>
      </c>
      <c r="C108" s="7"/>
      <c r="D108" s="50">
        <f t="shared" si="2"/>
        <v>1</v>
      </c>
      <c r="E108" s="11">
        <f t="shared" si="2"/>
        <v>500</v>
      </c>
      <c r="F108" s="11">
        <f>E108*D108</f>
        <v>500</v>
      </c>
      <c r="G108" s="1"/>
      <c r="H108" s="1"/>
      <c r="I108" s="1"/>
      <c r="J108" s="1"/>
      <c r="K108" s="1"/>
    </row>
    <row r="109" spans="2:11" x14ac:dyDescent="0.35">
      <c r="B109" s="7" t="s">
        <v>112</v>
      </c>
      <c r="C109" s="7"/>
      <c r="D109" s="50">
        <f t="shared" si="2"/>
        <v>1</v>
      </c>
      <c r="E109" s="11">
        <f t="shared" si="2"/>
        <v>27</v>
      </c>
      <c r="F109" s="11">
        <f>D109*E109</f>
        <v>27</v>
      </c>
      <c r="G109" s="1"/>
      <c r="H109" s="1"/>
      <c r="I109" s="1"/>
      <c r="J109" s="1"/>
      <c r="K109" s="1"/>
    </row>
    <row r="110" spans="2:11" x14ac:dyDescent="0.35">
      <c r="B110" s="7" t="s">
        <v>113</v>
      </c>
      <c r="C110" s="7"/>
      <c r="D110" s="50">
        <f t="shared" si="2"/>
        <v>1</v>
      </c>
      <c r="E110" s="11">
        <f t="shared" si="2"/>
        <v>100</v>
      </c>
      <c r="F110" s="11">
        <f>E110*D110</f>
        <v>100</v>
      </c>
      <c r="G110" s="1"/>
      <c r="H110" s="1"/>
      <c r="I110" s="1"/>
      <c r="J110" s="1"/>
      <c r="K110" s="1"/>
    </row>
    <row r="111" spans="2:11" x14ac:dyDescent="0.35">
      <c r="B111" s="261"/>
      <c r="C111" s="261"/>
      <c r="D111" s="261"/>
      <c r="E111" s="261"/>
      <c r="F111" s="261"/>
      <c r="G111" s="261"/>
      <c r="H111" s="1"/>
      <c r="I111" s="1"/>
      <c r="J111" s="1"/>
      <c r="K111" s="1"/>
    </row>
    <row r="112" spans="2:11" x14ac:dyDescent="0.35">
      <c r="B112" s="7" t="s">
        <v>39</v>
      </c>
      <c r="C112" s="7"/>
      <c r="D112" s="7"/>
      <c r="E112" s="6"/>
      <c r="F112" s="11">
        <f>ROUND(AVERAGE(G29:K29),0)</f>
        <v>918</v>
      </c>
      <c r="G112" s="1"/>
      <c r="H112" s="1"/>
      <c r="I112" s="1"/>
      <c r="J112" s="1"/>
      <c r="K112" s="1"/>
    </row>
    <row r="113" spans="2:11" x14ac:dyDescent="0.35">
      <c r="B113" s="7" t="s">
        <v>40</v>
      </c>
      <c r="C113" s="7"/>
      <c r="D113" s="7"/>
      <c r="E113" s="6"/>
      <c r="F113" s="13">
        <f>AVERAGE(E80:I80)</f>
        <v>915.46666666666681</v>
      </c>
      <c r="G113" s="1"/>
      <c r="H113" s="1"/>
      <c r="I113" s="1"/>
      <c r="J113" s="1"/>
      <c r="K113" s="1"/>
    </row>
    <row r="114" spans="2:11" x14ac:dyDescent="0.35">
      <c r="B114" s="5" t="s">
        <v>41</v>
      </c>
      <c r="C114" s="5"/>
      <c r="D114" s="5"/>
      <c r="E114" s="6"/>
      <c r="F114" s="53">
        <f>SUM(F106:F113)</f>
        <v>3460.4666666666667</v>
      </c>
      <c r="G114" s="1"/>
      <c r="H114" s="1"/>
      <c r="I114" s="1"/>
      <c r="J114" s="1"/>
      <c r="K114" s="1"/>
    </row>
    <row r="115" spans="2:11" x14ac:dyDescent="0.35">
      <c r="B115" s="5"/>
      <c r="C115" s="5"/>
      <c r="D115" s="5"/>
      <c r="E115" s="6"/>
      <c r="F115" s="53"/>
      <c r="G115" s="1"/>
      <c r="H115" s="1"/>
      <c r="I115" s="1"/>
      <c r="J115" s="1"/>
      <c r="K115" s="1"/>
    </row>
    <row r="116" spans="2:11" x14ac:dyDescent="0.35">
      <c r="B116" s="31" t="s">
        <v>90</v>
      </c>
      <c r="C116" s="31"/>
      <c r="D116" s="31"/>
      <c r="E116" s="6"/>
      <c r="F116" s="53">
        <f>F114+F102</f>
        <v>20778.466666666667</v>
      </c>
      <c r="G116" s="1"/>
      <c r="H116" s="1"/>
      <c r="I116" s="1"/>
      <c r="J116" s="1"/>
      <c r="K116" s="1"/>
    </row>
    <row r="117" spans="2:11" x14ac:dyDescent="0.35">
      <c r="B117" s="31"/>
      <c r="C117" s="31"/>
      <c r="D117" s="31"/>
      <c r="E117" s="6"/>
      <c r="F117" s="11"/>
      <c r="G117" s="1"/>
      <c r="H117" s="1"/>
      <c r="I117" s="1"/>
      <c r="J117" s="1"/>
      <c r="K117" s="1"/>
    </row>
    <row r="118" spans="2:11" x14ac:dyDescent="0.35">
      <c r="B118" s="31" t="s">
        <v>122</v>
      </c>
      <c r="C118" s="31"/>
      <c r="D118" s="31"/>
      <c r="E118" s="6"/>
      <c r="F118" s="11"/>
      <c r="G118" s="1"/>
      <c r="H118" s="1"/>
      <c r="I118" s="1"/>
      <c r="J118" s="1"/>
      <c r="K118" s="1"/>
    </row>
    <row r="119" spans="2:11" x14ac:dyDescent="0.35">
      <c r="B119" s="123" t="s">
        <v>123</v>
      </c>
      <c r="C119" s="31"/>
      <c r="D119" s="31"/>
      <c r="E119" s="6"/>
      <c r="F119" s="11"/>
      <c r="G119" s="1"/>
      <c r="H119" s="1"/>
      <c r="I119" s="1"/>
      <c r="J119" s="1"/>
      <c r="K119" s="1"/>
    </row>
    <row r="120" spans="2:11" x14ac:dyDescent="0.35">
      <c r="B120" s="5" t="s">
        <v>119</v>
      </c>
      <c r="C120" s="31"/>
      <c r="D120" s="31"/>
      <c r="E120" s="6"/>
      <c r="F120" s="11">
        <f>F90-(F116-F113)</f>
        <v>17637.000000000007</v>
      </c>
      <c r="G120" s="1"/>
      <c r="H120" s="1"/>
      <c r="I120" s="1"/>
      <c r="J120" s="1"/>
      <c r="K120" s="1"/>
    </row>
    <row r="121" spans="2:11" x14ac:dyDescent="0.35">
      <c r="B121" s="5" t="s">
        <v>120</v>
      </c>
      <c r="C121" s="31"/>
      <c r="D121" s="31"/>
      <c r="E121" s="6"/>
      <c r="F121" s="157">
        <f>(F116-F113)/D90</f>
        <v>3.3104999999999996E-2</v>
      </c>
      <c r="G121" s="1"/>
      <c r="H121" s="1"/>
      <c r="I121" s="1"/>
      <c r="J121" s="1"/>
      <c r="K121" s="1"/>
    </row>
    <row r="122" spans="2:11" x14ac:dyDescent="0.35">
      <c r="B122" s="5" t="s">
        <v>121</v>
      </c>
      <c r="C122" s="31"/>
      <c r="D122" s="31"/>
      <c r="E122" s="6"/>
      <c r="F122" s="55">
        <f>((F116-F113)/(E86*(D86/D90)+E87*(D87/D90)+E88*(D88/D90)))/D93</f>
        <v>0.31780799999999998</v>
      </c>
      <c r="G122" s="1"/>
      <c r="H122" s="1"/>
      <c r="I122" s="1"/>
      <c r="J122" s="1"/>
      <c r="K122" s="1"/>
    </row>
    <row r="123" spans="2:11" x14ac:dyDescent="0.35">
      <c r="B123" s="5"/>
      <c r="C123" s="31"/>
      <c r="D123" s="31"/>
      <c r="E123" s="6"/>
      <c r="F123" s="55"/>
      <c r="G123" s="1"/>
      <c r="H123" s="1"/>
      <c r="I123" s="1"/>
      <c r="J123" s="1"/>
      <c r="K123" s="1"/>
    </row>
    <row r="124" spans="2:11" x14ac:dyDescent="0.35">
      <c r="B124" s="158" t="s">
        <v>90</v>
      </c>
      <c r="C124" s="156"/>
      <c r="D124" s="156"/>
      <c r="E124" s="156"/>
      <c r="F124" s="156"/>
      <c r="G124" s="156"/>
      <c r="H124" s="1"/>
      <c r="I124" s="1"/>
      <c r="J124" s="1"/>
      <c r="K124" s="1"/>
    </row>
    <row r="125" spans="2:11" x14ac:dyDescent="0.35">
      <c r="B125" s="5" t="s">
        <v>42</v>
      </c>
      <c r="C125" s="5"/>
      <c r="D125" s="5"/>
      <c r="E125" s="6"/>
      <c r="F125" s="11">
        <f>F90-F116</f>
        <v>16721.53333333334</v>
      </c>
      <c r="G125" s="1"/>
      <c r="H125" s="1"/>
      <c r="I125" s="1"/>
      <c r="J125" s="1"/>
      <c r="K125" s="1"/>
    </row>
    <row r="126" spans="2:11" x14ac:dyDescent="0.35">
      <c r="B126" s="5" t="s">
        <v>43</v>
      </c>
      <c r="C126" s="5"/>
      <c r="D126" s="5"/>
      <c r="E126" s="6"/>
      <c r="F126" s="54">
        <f>F116/D90</f>
        <v>3.4630777777777774E-2</v>
      </c>
      <c r="G126" s="1"/>
      <c r="H126" s="1"/>
      <c r="I126" s="1"/>
      <c r="J126" s="1"/>
      <c r="K126" s="1"/>
    </row>
    <row r="127" spans="2:11" x14ac:dyDescent="0.35">
      <c r="B127" s="5" t="s">
        <v>44</v>
      </c>
      <c r="C127" s="5"/>
      <c r="D127" s="5"/>
      <c r="E127" s="6"/>
      <c r="F127" s="55">
        <f>(F116/(E86*(D86/D90)+E87*(D87/D90)+E88*(D88/D90)))/D93</f>
        <v>0.3324554666666667</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 allowBlank="1" showInputMessage="1" showErrorMessage="1" sqref="I7:I9 I5 F6:F7 F9:F11">
      <formula1>0</formula1>
    </dataValidation>
    <dataValidation type="whole" operator="greaterThan" allowBlank="1" showInputMessage="1" showErrorMessage="1" sqref="C22:C28 D24:D28 E24 F53:I54 E50:E54 F5 E40:E41 F47:I47 E43:E48 D75:D79 C73:C79">
      <formula1>0</formula1>
    </dataValidation>
    <dataValidation type="whole" allowBlank="1" showInputMessage="1" showErrorMessage="1" sqref="E25:E28">
      <formula1>0</formula1>
      <formula2>1</formula2>
    </dataValidation>
    <dataValidation type="decimal" operator="greaterThanOrEqual" allowBlank="1" showInputMessage="1" showErrorMessage="1" sqref="F13:F15">
      <formula1>0</formula1>
    </dataValidation>
  </dataValidations>
  <pageMargins left="0.75" right="0.75" top="1" bottom="1" header="0.5" footer="0.5"/>
  <pageSetup orientation="portrait" horizontalDpi="4294967292" verticalDpi="429496729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27"/>
  <sheetViews>
    <sheetView workbookViewId="0">
      <selection activeCell="F15" sqref="F15"/>
    </sheetView>
  </sheetViews>
  <sheetFormatPr defaultColWidth="11" defaultRowHeight="15.5" x14ac:dyDescent="0.35"/>
  <sheetData>
    <row r="3" spans="2:11" ht="16" thickBot="1" x14ac:dyDescent="0.4">
      <c r="B3" s="1"/>
      <c r="C3" s="1"/>
      <c r="D3" s="1"/>
      <c r="E3" s="66"/>
      <c r="F3" s="37"/>
      <c r="G3" s="7"/>
      <c r="H3" s="1"/>
      <c r="I3" s="1"/>
      <c r="J3" s="1"/>
      <c r="K3" s="1"/>
    </row>
    <row r="4" spans="2:11" x14ac:dyDescent="0.35">
      <c r="B4" s="1"/>
      <c r="C4" s="1"/>
      <c r="D4" s="18" t="s">
        <v>51</v>
      </c>
      <c r="E4" s="117"/>
      <c r="F4" s="19" t="s">
        <v>50</v>
      </c>
      <c r="G4" s="1"/>
      <c r="H4" s="18" t="s">
        <v>53</v>
      </c>
      <c r="I4" s="19" t="s">
        <v>54</v>
      </c>
      <c r="J4" s="1"/>
      <c r="K4" s="1"/>
    </row>
    <row r="5" spans="2:11" x14ac:dyDescent="0.35">
      <c r="B5" s="1"/>
      <c r="C5" s="1"/>
      <c r="D5" s="239" t="s">
        <v>73</v>
      </c>
      <c r="E5" s="240"/>
      <c r="F5" s="56">
        <f>Budget!E5</f>
        <v>1000000</v>
      </c>
      <c r="G5" s="1"/>
      <c r="H5" s="22" t="s">
        <v>46</v>
      </c>
      <c r="I5" s="62">
        <f>Budget!H5</f>
        <v>6.0000000000000001E-3</v>
      </c>
      <c r="J5" s="1"/>
      <c r="K5" s="1"/>
    </row>
    <row r="6" spans="2:11" x14ac:dyDescent="0.35">
      <c r="B6" s="1"/>
      <c r="C6" s="1"/>
      <c r="D6" s="247" t="s">
        <v>60</v>
      </c>
      <c r="E6" s="248"/>
      <c r="F6" s="57">
        <f>Budget!E6</f>
        <v>10000</v>
      </c>
      <c r="G6" s="1"/>
      <c r="H6" s="43" t="s">
        <v>47</v>
      </c>
      <c r="I6" s="21">
        <f>Budget!H6</f>
        <v>0</v>
      </c>
      <c r="J6" s="1"/>
      <c r="K6" s="1"/>
    </row>
    <row r="7" spans="2:11" x14ac:dyDescent="0.35">
      <c r="B7" s="1"/>
      <c r="C7" s="1"/>
      <c r="D7" s="239" t="s">
        <v>55</v>
      </c>
      <c r="E7" s="240"/>
      <c r="F7" s="82">
        <f>Budget!E7</f>
        <v>1150</v>
      </c>
      <c r="G7" s="1"/>
      <c r="H7" s="20" t="s">
        <v>67</v>
      </c>
      <c r="I7" s="45">
        <f>Budget!H7</f>
        <v>7.0000000000000007E-2</v>
      </c>
      <c r="J7" s="1"/>
      <c r="K7" s="1"/>
    </row>
    <row r="8" spans="2:11" x14ac:dyDescent="0.35">
      <c r="B8" s="1"/>
      <c r="C8" s="1"/>
      <c r="D8" s="239" t="s">
        <v>56</v>
      </c>
      <c r="E8" s="240"/>
      <c r="F8" s="59"/>
      <c r="G8" s="1"/>
      <c r="H8" s="20" t="s">
        <v>62</v>
      </c>
      <c r="I8" s="45">
        <f>Budget!H8</f>
        <v>0.05</v>
      </c>
      <c r="J8" s="1"/>
      <c r="K8" s="1"/>
    </row>
    <row r="9" spans="2:11" ht="16" thickBot="1" x14ac:dyDescent="0.4">
      <c r="B9" s="1"/>
      <c r="C9" s="1"/>
      <c r="D9" s="237" t="s">
        <v>57</v>
      </c>
      <c r="E9" s="238"/>
      <c r="F9" s="60">
        <f>Budget!E9</f>
        <v>0.75</v>
      </c>
      <c r="G9" s="1"/>
      <c r="H9" s="44" t="s">
        <v>63</v>
      </c>
      <c r="I9" s="46">
        <f>Budget!H9</f>
        <v>3.5000000000000003E-2</v>
      </c>
      <c r="J9" s="1"/>
      <c r="K9" s="1"/>
    </row>
    <row r="10" spans="2:11" x14ac:dyDescent="0.35">
      <c r="B10" s="1"/>
      <c r="C10" s="1"/>
      <c r="D10" s="237" t="s">
        <v>58</v>
      </c>
      <c r="E10" s="238"/>
      <c r="F10" s="60">
        <f>Budget!E10</f>
        <v>0.8</v>
      </c>
      <c r="G10" s="1"/>
      <c r="H10" s="17"/>
      <c r="I10" s="1"/>
      <c r="J10" s="1"/>
      <c r="K10" s="1"/>
    </row>
    <row r="11" spans="2:11" x14ac:dyDescent="0.35">
      <c r="B11" s="1"/>
      <c r="C11" s="1"/>
      <c r="D11" s="237" t="s">
        <v>59</v>
      </c>
      <c r="E11" s="238"/>
      <c r="F11" s="132">
        <f>F9*F10</f>
        <v>0.60000000000000009</v>
      </c>
      <c r="G11" s="1"/>
      <c r="H11" s="138"/>
      <c r="I11" s="139"/>
      <c r="J11" s="1"/>
      <c r="K11" s="1"/>
    </row>
    <row r="12" spans="2:11" x14ac:dyDescent="0.35">
      <c r="B12" s="1"/>
      <c r="C12" s="1"/>
      <c r="D12" s="239" t="s">
        <v>52</v>
      </c>
      <c r="E12" s="240"/>
      <c r="F12" s="241"/>
      <c r="G12" s="1"/>
      <c r="H12" s="1"/>
      <c r="I12" s="1"/>
      <c r="J12" s="1"/>
      <c r="K12" s="1"/>
    </row>
    <row r="13" spans="2:11" x14ac:dyDescent="0.35">
      <c r="B13" s="1"/>
      <c r="C13" s="1"/>
      <c r="D13" s="237" t="s">
        <v>61</v>
      </c>
      <c r="E13" s="238"/>
      <c r="F13" s="60">
        <f>'Cash Cost Sensitivities (2)'!A24</f>
        <v>0.8</v>
      </c>
      <c r="G13" s="1"/>
      <c r="H13" s="1"/>
      <c r="I13" s="1"/>
      <c r="J13" s="1"/>
      <c r="K13" s="1"/>
    </row>
    <row r="14" spans="2:11" x14ac:dyDescent="0.35">
      <c r="B14" s="1"/>
      <c r="C14" s="1"/>
      <c r="D14" s="237" t="s">
        <v>62</v>
      </c>
      <c r="E14" s="238"/>
      <c r="F14" s="60">
        <f>'Cash Cost Sensitivities (2)'!B24</f>
        <v>0.15</v>
      </c>
      <c r="G14" s="1"/>
      <c r="H14" s="1"/>
      <c r="I14" s="1"/>
      <c r="J14" s="1"/>
      <c r="K14" s="1"/>
    </row>
    <row r="15" spans="2:11" x14ac:dyDescent="0.35">
      <c r="B15" s="1"/>
      <c r="C15" s="1"/>
      <c r="D15" s="237" t="s">
        <v>63</v>
      </c>
      <c r="E15" s="238"/>
      <c r="F15" s="105">
        <f>'Cash Cost Sensitivities (2)'!C24</f>
        <v>0.05</v>
      </c>
      <c r="G15" s="1"/>
      <c r="H15" s="1"/>
      <c r="I15" s="1"/>
      <c r="J15" s="1"/>
      <c r="K15" s="1"/>
    </row>
    <row r="16" spans="2:11" x14ac:dyDescent="0.35">
      <c r="B16" s="7"/>
      <c r="C16" s="7"/>
      <c r="D16" s="242" t="s">
        <v>103</v>
      </c>
      <c r="E16" s="243"/>
      <c r="F16" s="103"/>
      <c r="G16" s="1"/>
      <c r="H16" s="1"/>
      <c r="I16" s="1"/>
      <c r="J16" s="1"/>
      <c r="K16" s="1"/>
    </row>
    <row r="17" spans="2:11" x14ac:dyDescent="0.35">
      <c r="B17" s="1"/>
      <c r="C17" s="1"/>
      <c r="D17" s="250" t="s">
        <v>57</v>
      </c>
      <c r="E17" s="251"/>
      <c r="F17" s="106">
        <f>ROUND(F5/F6,0)</f>
        <v>100</v>
      </c>
      <c r="G17" s="1"/>
      <c r="H17" s="1"/>
      <c r="I17" s="1"/>
      <c r="J17" s="1"/>
      <c r="K17" s="1"/>
    </row>
    <row r="18" spans="2:11" ht="16" thickBot="1" x14ac:dyDescent="0.4">
      <c r="B18" s="2"/>
      <c r="C18" s="2"/>
      <c r="D18" s="252" t="s">
        <v>102</v>
      </c>
      <c r="E18" s="253"/>
      <c r="F18" s="104">
        <f>ROUND(F5*F9/F7,0)</f>
        <v>652</v>
      </c>
      <c r="G18" s="1"/>
      <c r="H18" s="1"/>
      <c r="I18" s="1"/>
      <c r="J18" s="1"/>
      <c r="K18" s="1"/>
    </row>
    <row r="19" spans="2:11" x14ac:dyDescent="0.35">
      <c r="B19" s="2"/>
      <c r="C19" s="2"/>
      <c r="D19" s="2"/>
      <c r="E19" s="14"/>
      <c r="F19" s="2"/>
      <c r="G19" s="1"/>
      <c r="H19" s="1"/>
      <c r="I19" s="1"/>
      <c r="J19" s="1"/>
      <c r="K19" s="1"/>
    </row>
    <row r="20" spans="2:11" ht="18.5" x14ac:dyDescent="0.45">
      <c r="B20" s="236" t="s">
        <v>12</v>
      </c>
      <c r="C20" s="236"/>
      <c r="D20" s="236"/>
      <c r="E20" s="236"/>
      <c r="F20" s="236"/>
      <c r="G20" s="236"/>
      <c r="H20" s="236"/>
      <c r="I20" s="236"/>
      <c r="J20" s="236"/>
      <c r="K20" s="236"/>
    </row>
    <row r="21" spans="2:11" ht="16" thickBot="1" x14ac:dyDescent="0.4">
      <c r="B21" s="23" t="s">
        <v>0</v>
      </c>
      <c r="C21" s="34" t="s">
        <v>1</v>
      </c>
      <c r="D21" s="33" t="s">
        <v>2</v>
      </c>
      <c r="E21" s="33" t="s">
        <v>72</v>
      </c>
      <c r="F21" s="33" t="s">
        <v>117</v>
      </c>
      <c r="G21" s="33" t="s">
        <v>3</v>
      </c>
      <c r="H21" s="33" t="s">
        <v>4</v>
      </c>
      <c r="I21" s="33" t="s">
        <v>5</v>
      </c>
      <c r="J21" s="33" t="s">
        <v>6</v>
      </c>
      <c r="K21" s="33" t="s">
        <v>7</v>
      </c>
    </row>
    <row r="22" spans="2:11" x14ac:dyDescent="0.35">
      <c r="B22" s="25" t="s">
        <v>8</v>
      </c>
      <c r="C22" s="68">
        <f>Budget!B22</f>
        <v>7</v>
      </c>
      <c r="D22" s="140">
        <f>Budget!C22</f>
        <v>4</v>
      </c>
      <c r="E22" s="146">
        <f>Budget!D22</f>
        <v>25</v>
      </c>
      <c r="F22" s="149">
        <f>Budget!E22</f>
        <v>175</v>
      </c>
      <c r="G22" s="149">
        <f>Budget!F22</f>
        <v>175</v>
      </c>
      <c r="H22" s="149">
        <f>Budget!G22</f>
        <v>180</v>
      </c>
      <c r="I22" s="149">
        <f>Budget!H22</f>
        <v>186</v>
      </c>
      <c r="J22" s="149">
        <f>Budget!I22</f>
        <v>191</v>
      </c>
      <c r="K22" s="149">
        <f>Budget!J22</f>
        <v>197</v>
      </c>
    </row>
    <row r="23" spans="2:11" x14ac:dyDescent="0.35">
      <c r="B23" s="16" t="s">
        <v>9</v>
      </c>
      <c r="C23" s="67">
        <f>Budget!B23</f>
        <v>6.2</v>
      </c>
      <c r="D23" s="141">
        <f>Budget!C23</f>
        <v>10</v>
      </c>
      <c r="E23" s="181">
        <f>Budget!D23</f>
        <v>65</v>
      </c>
      <c r="F23" s="150">
        <f>Budget!E23</f>
        <v>404</v>
      </c>
      <c r="G23" s="150">
        <f>Budget!F23</f>
        <v>403</v>
      </c>
      <c r="H23" s="150">
        <f>Budget!G23</f>
        <v>415</v>
      </c>
      <c r="I23" s="150">
        <f>Budget!H23</f>
        <v>428</v>
      </c>
      <c r="J23" s="150">
        <f>Budget!I23</f>
        <v>440</v>
      </c>
      <c r="K23" s="150">
        <f>Budget!J23</f>
        <v>454</v>
      </c>
    </row>
    <row r="24" spans="2:11" x14ac:dyDescent="0.35">
      <c r="B24" s="16" t="s">
        <v>10</v>
      </c>
      <c r="C24" s="67">
        <f>Budget!B24</f>
        <v>250</v>
      </c>
      <c r="D24" s="141">
        <f>Budget!C24</f>
        <v>3</v>
      </c>
      <c r="E24" s="182">
        <f>Budget!D24</f>
        <v>1</v>
      </c>
      <c r="F24" s="151">
        <f>Budget!E24</f>
        <v>0</v>
      </c>
      <c r="G24" s="150">
        <f>Budget!F24</f>
        <v>250</v>
      </c>
      <c r="H24" s="150">
        <f>Budget!G24</f>
        <v>0</v>
      </c>
      <c r="I24" s="150">
        <f>Budget!H24</f>
        <v>0</v>
      </c>
      <c r="J24" s="150">
        <f>Budget!I24</f>
        <v>273</v>
      </c>
      <c r="K24" s="150">
        <f>Budget!J24</f>
        <v>0</v>
      </c>
    </row>
    <row r="25" spans="2:11" x14ac:dyDescent="0.35">
      <c r="B25" s="16" t="s">
        <v>11</v>
      </c>
      <c r="C25" s="67">
        <f>Budget!B25</f>
        <v>18000</v>
      </c>
      <c r="D25" s="141">
        <f>Budget!C25</f>
        <v>7</v>
      </c>
      <c r="E25" s="141">
        <f>Budget!D25</f>
        <v>0</v>
      </c>
      <c r="F25" s="152">
        <f>Budget!E25</f>
        <v>0</v>
      </c>
      <c r="G25" s="150">
        <f>Budget!F25</f>
        <v>0</v>
      </c>
      <c r="H25" s="150">
        <f>Budget!G25</f>
        <v>0</v>
      </c>
      <c r="I25" s="150">
        <f>Budget!H25</f>
        <v>0</v>
      </c>
      <c r="J25" s="150">
        <f>Budget!I25</f>
        <v>0</v>
      </c>
      <c r="K25" s="150">
        <f>Budget!J25</f>
        <v>0</v>
      </c>
    </row>
    <row r="26" spans="2:11" x14ac:dyDescent="0.35">
      <c r="B26" s="16" t="s">
        <v>69</v>
      </c>
      <c r="C26" s="67">
        <f>Budget!B26</f>
        <v>28000</v>
      </c>
      <c r="D26" s="141">
        <f>Budget!C26</f>
        <v>10</v>
      </c>
      <c r="E26" s="141">
        <f>Budget!D26</f>
        <v>0</v>
      </c>
      <c r="F26" s="152">
        <f>Budget!E26</f>
        <v>0</v>
      </c>
      <c r="G26" s="150">
        <f>Budget!F26</f>
        <v>0</v>
      </c>
      <c r="H26" s="150">
        <f>Budget!G26</f>
        <v>0</v>
      </c>
      <c r="I26" s="150">
        <f>Budget!H26</f>
        <v>0</v>
      </c>
      <c r="J26" s="150">
        <f>Budget!I26</f>
        <v>0</v>
      </c>
      <c r="K26" s="150">
        <f>Budget!J26</f>
        <v>0</v>
      </c>
    </row>
    <row r="27" spans="2:11" x14ac:dyDescent="0.35">
      <c r="B27" s="16" t="s">
        <v>70</v>
      </c>
      <c r="C27" s="67">
        <f>Budget!B27</f>
        <v>10000</v>
      </c>
      <c r="D27" s="141">
        <f>Budget!C27</f>
        <v>3</v>
      </c>
      <c r="E27" s="141">
        <f>Budget!D27</f>
        <v>0</v>
      </c>
      <c r="F27" s="152">
        <f>Budget!E27</f>
        <v>0</v>
      </c>
      <c r="G27" s="150">
        <f>Budget!F27</f>
        <v>0</v>
      </c>
      <c r="H27" s="150">
        <f>Budget!G27</f>
        <v>0</v>
      </c>
      <c r="I27" s="150">
        <f>Budget!H27</f>
        <v>0</v>
      </c>
      <c r="J27" s="150">
        <f>Budget!I27</f>
        <v>0</v>
      </c>
      <c r="K27" s="150">
        <f>Budget!J27</f>
        <v>0</v>
      </c>
    </row>
    <row r="28" spans="2:11" ht="44" thickBot="1" x14ac:dyDescent="0.4">
      <c r="B28" s="98" t="s">
        <v>71</v>
      </c>
      <c r="C28" s="69">
        <f>Budget!B28</f>
        <v>1000</v>
      </c>
      <c r="D28" s="142">
        <f>Budget!C28</f>
        <v>5</v>
      </c>
      <c r="E28" s="142">
        <f>Budget!D28</f>
        <v>1</v>
      </c>
      <c r="F28" s="153">
        <f>Budget!E28</f>
        <v>0</v>
      </c>
      <c r="G28" s="154">
        <f>Budget!F28</f>
        <v>1000</v>
      </c>
      <c r="H28" s="154">
        <f>Budget!G28</f>
        <v>0</v>
      </c>
      <c r="I28" s="154">
        <f>Budget!H28</f>
        <v>0</v>
      </c>
      <c r="J28" s="154">
        <f>Budget!I28</f>
        <v>0</v>
      </c>
      <c r="K28" s="154">
        <f>Budget!J28</f>
        <v>0</v>
      </c>
    </row>
    <row r="29" spans="2:11" x14ac:dyDescent="0.35">
      <c r="B29" s="5" t="s">
        <v>45</v>
      </c>
      <c r="C29" s="6"/>
      <c r="D29" s="7"/>
      <c r="E29" s="7"/>
      <c r="F29" s="15"/>
      <c r="G29" s="15">
        <f>SUM(G22:G28)</f>
        <v>1828</v>
      </c>
      <c r="H29" s="15">
        <f>SUM(H22:H28)</f>
        <v>595</v>
      </c>
      <c r="I29" s="15">
        <f>SUM(I22:I28)</f>
        <v>614</v>
      </c>
      <c r="J29" s="15">
        <f>SUM(J22:J28)</f>
        <v>904</v>
      </c>
      <c r="K29" s="15">
        <f>SUM(K22:K28)</f>
        <v>651</v>
      </c>
    </row>
    <row r="30" spans="2:11" x14ac:dyDescent="0.35">
      <c r="B30" s="1"/>
      <c r="C30" s="1"/>
      <c r="D30" s="1"/>
      <c r="E30" s="4"/>
      <c r="F30" s="1"/>
      <c r="G30" s="1"/>
      <c r="H30" s="1"/>
      <c r="I30" s="1"/>
      <c r="J30" s="1"/>
      <c r="K30" s="1"/>
    </row>
    <row r="31" spans="2:11" x14ac:dyDescent="0.35">
      <c r="B31" s="107"/>
      <c r="C31" s="107"/>
      <c r="D31" s="107"/>
      <c r="E31" s="4"/>
      <c r="F31" s="1"/>
      <c r="G31" s="1"/>
      <c r="H31" s="1"/>
      <c r="I31" s="1"/>
      <c r="J31" s="1"/>
      <c r="K31" s="1"/>
    </row>
    <row r="32" spans="2:11" x14ac:dyDescent="0.35">
      <c r="B32" s="107"/>
      <c r="C32" s="107"/>
      <c r="D32" s="107"/>
      <c r="E32" s="4"/>
      <c r="F32" s="1"/>
      <c r="G32" s="1"/>
      <c r="H32" s="1"/>
      <c r="I32" s="1"/>
      <c r="J32" s="1"/>
      <c r="K32" s="1"/>
    </row>
    <row r="33" spans="2:11" x14ac:dyDescent="0.35">
      <c r="B33" s="107"/>
      <c r="C33" s="107"/>
      <c r="D33" s="107"/>
      <c r="E33" s="4"/>
      <c r="F33" s="1"/>
      <c r="G33" s="1"/>
      <c r="H33" s="1"/>
      <c r="I33" s="1"/>
      <c r="J33" s="1"/>
      <c r="K33" s="1"/>
    </row>
    <row r="34" spans="2:11" x14ac:dyDescent="0.35">
      <c r="B34" s="107"/>
      <c r="C34" s="107"/>
      <c r="D34" s="107"/>
      <c r="E34" s="4"/>
      <c r="F34" s="1"/>
      <c r="G34" s="1"/>
      <c r="H34" s="1"/>
      <c r="I34" s="1"/>
      <c r="J34" s="1"/>
      <c r="K34" s="1"/>
    </row>
    <row r="35" spans="2:11" x14ac:dyDescent="0.35">
      <c r="B35" s="107"/>
      <c r="C35" s="107"/>
      <c r="D35" s="107"/>
      <c r="E35" s="4"/>
      <c r="F35" s="1"/>
      <c r="G35" s="1"/>
      <c r="H35" s="1"/>
      <c r="I35" s="1"/>
      <c r="J35" s="1"/>
      <c r="K35" s="1"/>
    </row>
    <row r="36" spans="2:11" x14ac:dyDescent="0.35">
      <c r="B36" s="107"/>
      <c r="C36" s="107"/>
      <c r="D36" s="107"/>
      <c r="E36" s="4"/>
      <c r="F36" s="1"/>
      <c r="G36" s="1"/>
      <c r="H36" s="1"/>
      <c r="I36" s="1"/>
      <c r="J36" s="1"/>
      <c r="K36" s="1"/>
    </row>
    <row r="37" spans="2:11" ht="18.5" x14ac:dyDescent="0.45">
      <c r="B37" s="236" t="s">
        <v>14</v>
      </c>
      <c r="C37" s="236"/>
      <c r="D37" s="236"/>
      <c r="E37" s="236"/>
      <c r="F37" s="236"/>
      <c r="G37" s="236"/>
      <c r="H37" s="236"/>
      <c r="I37" s="236"/>
      <c r="J37" s="1"/>
      <c r="K37" s="1"/>
    </row>
    <row r="38" spans="2:11" ht="44" thickBot="1" x14ac:dyDescent="0.4">
      <c r="B38" s="33" t="s">
        <v>13</v>
      </c>
      <c r="C38" s="23" t="s">
        <v>107</v>
      </c>
      <c r="D38" s="122" t="s">
        <v>110</v>
      </c>
      <c r="E38" s="34" t="s">
        <v>3</v>
      </c>
      <c r="F38" s="33" t="s">
        <v>4</v>
      </c>
      <c r="G38" s="33" t="s">
        <v>5</v>
      </c>
      <c r="H38" s="33" t="s">
        <v>6</v>
      </c>
      <c r="I38" s="33" t="s">
        <v>7</v>
      </c>
      <c r="J38" s="1"/>
      <c r="K38" s="1"/>
    </row>
    <row r="39" spans="2:11" x14ac:dyDescent="0.35">
      <c r="B39" s="41" t="s">
        <v>14</v>
      </c>
      <c r="C39" s="1"/>
      <c r="D39" s="1"/>
      <c r="E39" s="32"/>
      <c r="F39" s="9"/>
      <c r="G39" s="9"/>
      <c r="H39" s="9"/>
      <c r="I39" s="102"/>
      <c r="J39" s="1"/>
      <c r="K39" s="1"/>
    </row>
    <row r="40" spans="2:11" x14ac:dyDescent="0.35">
      <c r="B40" s="25" t="s">
        <v>15</v>
      </c>
      <c r="C40" s="115">
        <f>F5</f>
        <v>1000000</v>
      </c>
      <c r="D40" s="118">
        <f>I5</f>
        <v>6.0000000000000001E-3</v>
      </c>
      <c r="E40" s="119">
        <f>C40*D40</f>
        <v>6000</v>
      </c>
      <c r="F40" s="30">
        <v>6000</v>
      </c>
      <c r="G40" s="30">
        <v>6000</v>
      </c>
      <c r="H40" s="30">
        <v>6000</v>
      </c>
      <c r="I40" s="30">
        <v>6000</v>
      </c>
      <c r="J40" s="12"/>
      <c r="K40" s="12"/>
    </row>
    <row r="41" spans="2:11" x14ac:dyDescent="0.35">
      <c r="B41" s="16" t="s">
        <v>108</v>
      </c>
      <c r="C41" s="116">
        <f>F17+F18</f>
        <v>752</v>
      </c>
      <c r="D41" s="67">
        <f>Budget!C35</f>
        <v>2</v>
      </c>
      <c r="E41" s="125">
        <f>C41*D41</f>
        <v>1504</v>
      </c>
      <c r="F41" s="29">
        <f>ROUND(E41+E41*0.03,0)</f>
        <v>1549</v>
      </c>
      <c r="G41" s="29">
        <f>ROUND(F41+F41*0.03,0)</f>
        <v>1595</v>
      </c>
      <c r="H41" s="29">
        <f t="shared" ref="H41:I52" si="0">ROUND(G41+G41*0.03,0)</f>
        <v>1643</v>
      </c>
      <c r="I41" s="29">
        <f t="shared" si="0"/>
        <v>1692</v>
      </c>
      <c r="J41" s="1"/>
      <c r="K41" s="1"/>
    </row>
    <row r="42" spans="2:11" x14ac:dyDescent="0.35">
      <c r="B42" s="16" t="s">
        <v>16</v>
      </c>
      <c r="C42" s="131">
        <f>Budget!B36</f>
        <v>205</v>
      </c>
      <c r="D42" s="67">
        <f>Budget!C36</f>
        <v>3.5</v>
      </c>
      <c r="E42" s="125">
        <f>C42*D42</f>
        <v>717.5</v>
      </c>
      <c r="F42" s="29">
        <f t="shared" ref="F42:G48" si="1">ROUND(E42+E42*0.03,0)</f>
        <v>739</v>
      </c>
      <c r="G42" s="29">
        <f t="shared" si="1"/>
        <v>761</v>
      </c>
      <c r="H42" s="29">
        <f t="shared" si="0"/>
        <v>784</v>
      </c>
      <c r="I42" s="29">
        <f t="shared" si="0"/>
        <v>808</v>
      </c>
      <c r="J42" s="1"/>
      <c r="K42" s="1"/>
    </row>
    <row r="43" spans="2:11" x14ac:dyDescent="0.35">
      <c r="B43" s="16" t="s">
        <v>17</v>
      </c>
      <c r="C43" s="131">
        <f>Budget!B37</f>
        <v>205</v>
      </c>
      <c r="D43" s="67">
        <f>Budget!C37</f>
        <v>3.5</v>
      </c>
      <c r="E43" s="125">
        <f>C43*D43</f>
        <v>717.5</v>
      </c>
      <c r="F43" s="29">
        <f t="shared" si="1"/>
        <v>739</v>
      </c>
      <c r="G43" s="29">
        <f t="shared" si="1"/>
        <v>761</v>
      </c>
      <c r="H43" s="29">
        <f t="shared" si="0"/>
        <v>784</v>
      </c>
      <c r="I43" s="29">
        <f t="shared" si="0"/>
        <v>808</v>
      </c>
      <c r="J43" s="1"/>
      <c r="K43" s="1"/>
    </row>
    <row r="44" spans="2:11" x14ac:dyDescent="0.35">
      <c r="B44" s="16" t="s">
        <v>18</v>
      </c>
      <c r="C44" s="164">
        <f>Budget!B38</f>
        <v>1</v>
      </c>
      <c r="D44" s="67">
        <f>Budget!C38</f>
        <v>100</v>
      </c>
      <c r="E44" s="125">
        <f>C44*D44</f>
        <v>100</v>
      </c>
      <c r="F44" s="29">
        <f t="shared" si="1"/>
        <v>103</v>
      </c>
      <c r="G44" s="29">
        <f t="shared" si="1"/>
        <v>106</v>
      </c>
      <c r="H44" s="29">
        <f t="shared" si="0"/>
        <v>109</v>
      </c>
      <c r="I44" s="29">
        <f t="shared" si="0"/>
        <v>112</v>
      </c>
      <c r="J44" s="1"/>
      <c r="K44" s="1"/>
    </row>
    <row r="45" spans="2:11" x14ac:dyDescent="0.35">
      <c r="B45" s="16" t="s">
        <v>77</v>
      </c>
      <c r="C45" s="121"/>
      <c r="D45" s="67">
        <f>Budget!C39</f>
        <v>2800</v>
      </c>
      <c r="E45" s="125">
        <f>D45</f>
        <v>2800</v>
      </c>
      <c r="F45" s="29">
        <f t="shared" si="1"/>
        <v>2884</v>
      </c>
      <c r="G45" s="29">
        <f t="shared" si="1"/>
        <v>2971</v>
      </c>
      <c r="H45" s="29">
        <f t="shared" si="0"/>
        <v>3060</v>
      </c>
      <c r="I45" s="29">
        <f t="shared" si="0"/>
        <v>3152</v>
      </c>
      <c r="J45" s="1"/>
      <c r="K45" s="1"/>
    </row>
    <row r="46" spans="2:11" x14ac:dyDescent="0.35">
      <c r="B46" s="16" t="s">
        <v>78</v>
      </c>
      <c r="C46" s="120">
        <f>ROUND(0.75*F17+0.9*F18,0)</f>
        <v>662</v>
      </c>
      <c r="D46" s="67">
        <f>Budget!C40</f>
        <v>1.25</v>
      </c>
      <c r="E46" s="125">
        <f>C46*D46</f>
        <v>827.5</v>
      </c>
      <c r="F46" s="29">
        <f t="shared" si="1"/>
        <v>852</v>
      </c>
      <c r="G46" s="29">
        <f t="shared" si="1"/>
        <v>878</v>
      </c>
      <c r="H46" s="29">
        <f t="shared" si="0"/>
        <v>904</v>
      </c>
      <c r="I46" s="29">
        <f t="shared" si="0"/>
        <v>931</v>
      </c>
      <c r="J46" s="1"/>
      <c r="K46" s="1"/>
    </row>
    <row r="47" spans="2:11" x14ac:dyDescent="0.35">
      <c r="B47" s="16" t="s">
        <v>111</v>
      </c>
      <c r="C47" s="120"/>
      <c r="D47" s="67">
        <f>Budget!C41</f>
        <v>4400</v>
      </c>
      <c r="E47" s="125">
        <f>D47</f>
        <v>4400</v>
      </c>
      <c r="F47" s="119">
        <f t="shared" si="1"/>
        <v>4532</v>
      </c>
      <c r="G47" s="119">
        <f t="shared" si="1"/>
        <v>4668</v>
      </c>
      <c r="H47" s="119">
        <f t="shared" si="0"/>
        <v>4808</v>
      </c>
      <c r="I47" s="119">
        <f t="shared" si="0"/>
        <v>4952</v>
      </c>
      <c r="J47" s="1"/>
      <c r="K47" s="1"/>
    </row>
    <row r="48" spans="2:11" x14ac:dyDescent="0.35">
      <c r="B48" s="16" t="s">
        <v>66</v>
      </c>
      <c r="C48" s="120"/>
      <c r="D48" s="67">
        <f>Budget!C42</f>
        <v>250</v>
      </c>
      <c r="E48" s="125">
        <f>D48</f>
        <v>250</v>
      </c>
      <c r="F48" s="29">
        <f t="shared" si="1"/>
        <v>258</v>
      </c>
      <c r="G48" s="29">
        <f t="shared" si="1"/>
        <v>266</v>
      </c>
      <c r="H48" s="29">
        <f t="shared" si="0"/>
        <v>274</v>
      </c>
      <c r="I48" s="29">
        <f t="shared" si="0"/>
        <v>282</v>
      </c>
      <c r="J48" s="1"/>
      <c r="K48" s="1"/>
    </row>
    <row r="49" spans="2:11" x14ac:dyDescent="0.35">
      <c r="B49" s="42" t="s">
        <v>68</v>
      </c>
      <c r="C49" s="114"/>
      <c r="D49" s="114"/>
      <c r="E49" s="126"/>
      <c r="F49" s="35"/>
      <c r="G49" s="35"/>
      <c r="H49" s="35"/>
      <c r="I49" s="36"/>
      <c r="J49" s="12"/>
      <c r="K49" s="12"/>
    </row>
    <row r="50" spans="2:11" x14ac:dyDescent="0.35">
      <c r="B50" s="16" t="s">
        <v>48</v>
      </c>
      <c r="C50" s="47">
        <f>Budget!B44</f>
        <v>1</v>
      </c>
      <c r="D50" s="47">
        <f>Budget!C44</f>
        <v>750</v>
      </c>
      <c r="E50" s="127">
        <v>750</v>
      </c>
      <c r="F50" s="29">
        <f>ROUND(E50+E50*0.03,0)</f>
        <v>773</v>
      </c>
      <c r="G50" s="29">
        <f>ROUND(F50+F50*0.03,0)</f>
        <v>796</v>
      </c>
      <c r="H50" s="29">
        <f t="shared" si="0"/>
        <v>820</v>
      </c>
      <c r="I50" s="29">
        <f t="shared" si="0"/>
        <v>845</v>
      </c>
      <c r="J50" s="1"/>
      <c r="K50" s="1"/>
    </row>
    <row r="51" spans="2:11" x14ac:dyDescent="0.35">
      <c r="B51" s="16" t="s">
        <v>49</v>
      </c>
      <c r="C51" s="47">
        <f>Budget!B45</f>
        <v>1</v>
      </c>
      <c r="D51" s="47">
        <f>Budget!C45</f>
        <v>250</v>
      </c>
      <c r="E51" s="127">
        <v>250</v>
      </c>
      <c r="F51" s="29">
        <v>250</v>
      </c>
      <c r="G51" s="29">
        <v>250</v>
      </c>
      <c r="H51" s="29">
        <v>250</v>
      </c>
      <c r="I51" s="29">
        <v>250</v>
      </c>
      <c r="J51" s="1"/>
      <c r="K51" s="1"/>
    </row>
    <row r="52" spans="2:11" x14ac:dyDescent="0.35">
      <c r="B52" s="16" t="s">
        <v>20</v>
      </c>
      <c r="C52" s="47">
        <f>Budget!B46</f>
        <v>1</v>
      </c>
      <c r="D52" s="47">
        <f>Budget!C46</f>
        <v>500</v>
      </c>
      <c r="E52" s="127">
        <v>500</v>
      </c>
      <c r="F52" s="29">
        <f>ROUND(E52+E52*0.03,0)</f>
        <v>515</v>
      </c>
      <c r="G52" s="29">
        <f>ROUND(F52+F52*0.03,0)</f>
        <v>530</v>
      </c>
      <c r="H52" s="29">
        <f t="shared" si="0"/>
        <v>546</v>
      </c>
      <c r="I52" s="29">
        <f t="shared" si="0"/>
        <v>562</v>
      </c>
      <c r="J52" s="1"/>
      <c r="K52" s="1"/>
    </row>
    <row r="53" spans="2:11" x14ac:dyDescent="0.35">
      <c r="B53" s="108" t="s">
        <v>104</v>
      </c>
      <c r="C53" s="130">
        <f>Budget!B47</f>
        <v>1</v>
      </c>
      <c r="D53" s="130">
        <f>Budget!C47</f>
        <v>27</v>
      </c>
      <c r="E53" s="128">
        <v>27</v>
      </c>
      <c r="F53" s="109">
        <v>27</v>
      </c>
      <c r="G53" s="109">
        <v>27</v>
      </c>
      <c r="H53" s="109">
        <v>27</v>
      </c>
      <c r="I53" s="109">
        <v>27</v>
      </c>
      <c r="J53" s="1"/>
      <c r="K53" s="1"/>
    </row>
    <row r="54" spans="2:11" ht="16" thickBot="1" x14ac:dyDescent="0.4">
      <c r="B54" s="27" t="s">
        <v>21</v>
      </c>
      <c r="C54" s="48">
        <f>Budget!B48</f>
        <v>1</v>
      </c>
      <c r="D54" s="48">
        <f>Budget!C48</f>
        <v>100</v>
      </c>
      <c r="E54" s="129">
        <v>100</v>
      </c>
      <c r="F54" s="110">
        <v>100</v>
      </c>
      <c r="G54" s="110">
        <v>100</v>
      </c>
      <c r="H54" s="110">
        <v>100</v>
      </c>
      <c r="I54" s="110">
        <v>100</v>
      </c>
      <c r="J54" s="1"/>
      <c r="K54" s="1"/>
    </row>
    <row r="55" spans="2:11" x14ac:dyDescent="0.35">
      <c r="B55" s="3" t="s">
        <v>22</v>
      </c>
      <c r="C55" s="3"/>
      <c r="D55" s="3"/>
      <c r="E55" s="10">
        <f>SUM(E40:E54)</f>
        <v>18943.5</v>
      </c>
      <c r="F55" s="10">
        <f>SUM(F40:F54)</f>
        <v>19321</v>
      </c>
      <c r="G55" s="10">
        <f>SUM(G40:G54)</f>
        <v>19709</v>
      </c>
      <c r="H55" s="10">
        <f>SUM(H40:H54)</f>
        <v>20109</v>
      </c>
      <c r="I55" s="10">
        <f>SUM(I40:I54)</f>
        <v>20521</v>
      </c>
      <c r="J55" s="1"/>
      <c r="K55" s="1"/>
    </row>
    <row r="56" spans="2:11" x14ac:dyDescent="0.35">
      <c r="B56" s="3"/>
      <c r="C56" s="3"/>
      <c r="D56" s="3"/>
      <c r="E56" s="10"/>
      <c r="F56" s="10"/>
      <c r="G56" s="10"/>
      <c r="H56" s="10"/>
      <c r="I56" s="10"/>
      <c r="J56" s="1"/>
      <c r="K56" s="1"/>
    </row>
    <row r="57" spans="2:11" x14ac:dyDescent="0.35">
      <c r="B57" s="3"/>
      <c r="C57" s="3"/>
      <c r="D57" s="3"/>
      <c r="E57" s="10"/>
      <c r="F57" s="10"/>
      <c r="G57" s="10"/>
      <c r="H57" s="10"/>
      <c r="I57" s="10"/>
      <c r="J57" s="1"/>
      <c r="K57" s="1"/>
    </row>
    <row r="58" spans="2:11" x14ac:dyDescent="0.35">
      <c r="B58" s="1"/>
      <c r="C58" s="1"/>
      <c r="D58" s="1"/>
      <c r="E58" s="8"/>
      <c r="F58" s="8"/>
      <c r="G58" s="8"/>
      <c r="H58" s="8"/>
      <c r="I58" s="8"/>
      <c r="J58" s="1"/>
      <c r="K58" s="1"/>
    </row>
    <row r="59" spans="2:11" ht="18.5" x14ac:dyDescent="0.45">
      <c r="B59" s="236" t="s">
        <v>76</v>
      </c>
      <c r="C59" s="236"/>
      <c r="D59" s="236"/>
      <c r="E59" s="236"/>
      <c r="F59" s="236"/>
      <c r="G59" s="236"/>
      <c r="H59" s="236"/>
      <c r="I59" s="236"/>
      <c r="J59" s="1"/>
      <c r="K59" s="1"/>
    </row>
    <row r="60" spans="2:11" ht="16" thickBot="1" x14ac:dyDescent="0.4">
      <c r="B60" s="37"/>
      <c r="C60" s="34" t="s">
        <v>3</v>
      </c>
      <c r="D60" s="33" t="s">
        <v>4</v>
      </c>
      <c r="E60" s="33" t="s">
        <v>5</v>
      </c>
      <c r="F60" s="33" t="s">
        <v>6</v>
      </c>
      <c r="G60" s="33" t="s">
        <v>7</v>
      </c>
      <c r="H60" s="1"/>
      <c r="I60" s="1"/>
      <c r="J60" s="1"/>
      <c r="K60" s="1"/>
    </row>
    <row r="61" spans="2:11" x14ac:dyDescent="0.35">
      <c r="B61" s="25" t="s">
        <v>23</v>
      </c>
      <c r="C61" s="155">
        <f>Budget!$B$56</f>
        <v>0</v>
      </c>
      <c r="D61" s="39">
        <f>C68</f>
        <v>18378.500000000015</v>
      </c>
      <c r="E61" s="39">
        <f>D68</f>
        <v>37612.500000000029</v>
      </c>
      <c r="F61" s="39">
        <f>E68</f>
        <v>56439.500000000044</v>
      </c>
      <c r="G61" s="39">
        <f>F68</f>
        <v>74576.500000000058</v>
      </c>
      <c r="H61" s="1"/>
      <c r="I61" s="1"/>
      <c r="J61" s="1"/>
      <c r="K61" s="1"/>
    </row>
    <row r="62" spans="2:11" x14ac:dyDescent="0.35">
      <c r="B62" s="16" t="s">
        <v>24</v>
      </c>
      <c r="C62" s="38">
        <f>F90</f>
        <v>39150.000000000015</v>
      </c>
      <c r="D62" s="38">
        <f>F90</f>
        <v>39150.000000000015</v>
      </c>
      <c r="E62" s="38">
        <f>F90</f>
        <v>39150.000000000015</v>
      </c>
      <c r="F62" s="38">
        <f>F90</f>
        <v>39150.000000000015</v>
      </c>
      <c r="G62" s="38">
        <f>F90</f>
        <v>39150.000000000015</v>
      </c>
      <c r="H62" s="1"/>
      <c r="I62" s="1"/>
      <c r="J62" s="1"/>
      <c r="K62" s="1"/>
    </row>
    <row r="63" spans="2:11" x14ac:dyDescent="0.35">
      <c r="B63" s="16" t="s">
        <v>25</v>
      </c>
      <c r="C63" s="38"/>
      <c r="D63" s="38"/>
      <c r="E63" s="38"/>
      <c r="F63" s="38"/>
      <c r="G63" s="38"/>
      <c r="H63" s="1"/>
      <c r="I63" s="1"/>
      <c r="J63" s="1"/>
      <c r="K63" s="1"/>
    </row>
    <row r="64" spans="2:11" x14ac:dyDescent="0.35">
      <c r="B64" s="16" t="s">
        <v>64</v>
      </c>
      <c r="C64" s="38">
        <f>E55</f>
        <v>18943.5</v>
      </c>
      <c r="D64" s="38">
        <f>F55</f>
        <v>19321</v>
      </c>
      <c r="E64" s="38">
        <f>G55</f>
        <v>19709</v>
      </c>
      <c r="F64" s="38">
        <f>H55</f>
        <v>20109</v>
      </c>
      <c r="G64" s="38">
        <f>I55</f>
        <v>20521</v>
      </c>
      <c r="H64" s="1"/>
      <c r="I64" s="1"/>
      <c r="J64" s="1"/>
      <c r="K64" s="1"/>
    </row>
    <row r="65" spans="2:11" x14ac:dyDescent="0.35">
      <c r="B65" s="16" t="s">
        <v>65</v>
      </c>
      <c r="C65" s="38">
        <f>G29</f>
        <v>1828</v>
      </c>
      <c r="D65" s="38">
        <f>H29</f>
        <v>595</v>
      </c>
      <c r="E65" s="38">
        <f>I29</f>
        <v>614</v>
      </c>
      <c r="F65" s="38">
        <f>J29</f>
        <v>904</v>
      </c>
      <c r="G65" s="38">
        <f>K29</f>
        <v>651</v>
      </c>
      <c r="H65" s="1"/>
      <c r="I65" s="1"/>
      <c r="J65" s="1"/>
      <c r="K65" s="1"/>
    </row>
    <row r="66" spans="2:11" x14ac:dyDescent="0.35">
      <c r="B66" s="16" t="s">
        <v>28</v>
      </c>
      <c r="C66" s="38">
        <f>C64+C65</f>
        <v>20771.5</v>
      </c>
      <c r="D66" s="38">
        <f>D64+D65</f>
        <v>19916</v>
      </c>
      <c r="E66" s="38">
        <f>E64+E65</f>
        <v>20323</v>
      </c>
      <c r="F66" s="38">
        <f>F64+F65</f>
        <v>21013</v>
      </c>
      <c r="G66" s="38">
        <f>G64+G65</f>
        <v>21172</v>
      </c>
      <c r="H66" s="1"/>
      <c r="I66" s="1"/>
      <c r="J66" s="1"/>
      <c r="K66" s="1"/>
    </row>
    <row r="67" spans="2:11" x14ac:dyDescent="0.35">
      <c r="B67" s="16" t="s">
        <v>26</v>
      </c>
      <c r="C67" s="38">
        <f>C62-C66</f>
        <v>18378.500000000015</v>
      </c>
      <c r="D67" s="38">
        <f>D62-D66</f>
        <v>19234.000000000015</v>
      </c>
      <c r="E67" s="38">
        <f>E62-E66</f>
        <v>18827.000000000015</v>
      </c>
      <c r="F67" s="38">
        <f>F62-F66</f>
        <v>18137.000000000015</v>
      </c>
      <c r="G67" s="38">
        <f>G62-G66</f>
        <v>17978.000000000015</v>
      </c>
      <c r="H67" s="1"/>
      <c r="I67" s="1"/>
      <c r="J67" s="1"/>
      <c r="K67" s="1"/>
    </row>
    <row r="68" spans="2:11" x14ac:dyDescent="0.35">
      <c r="B68" s="16" t="s">
        <v>27</v>
      </c>
      <c r="C68" s="38">
        <f>C61+C67</f>
        <v>18378.500000000015</v>
      </c>
      <c r="D68" s="38">
        <f>D61+D67</f>
        <v>37612.500000000029</v>
      </c>
      <c r="E68" s="38">
        <f>E61+E67</f>
        <v>56439.500000000044</v>
      </c>
      <c r="F68" s="38">
        <f>F61+F67</f>
        <v>74576.500000000058</v>
      </c>
      <c r="G68" s="38">
        <f>G61+G67</f>
        <v>92554.500000000073</v>
      </c>
      <c r="H68" s="1"/>
      <c r="I68" s="1"/>
      <c r="J68" s="1"/>
      <c r="K68" s="1"/>
    </row>
    <row r="69" spans="2:11" x14ac:dyDescent="0.35">
      <c r="B69" s="7"/>
      <c r="C69" s="7"/>
      <c r="D69" s="7"/>
      <c r="E69" s="40"/>
      <c r="F69" s="40"/>
      <c r="G69" s="40"/>
      <c r="H69" s="40"/>
      <c r="I69" s="40"/>
      <c r="J69" s="1"/>
      <c r="K69" s="1"/>
    </row>
    <row r="70" spans="2:11" ht="21.5" x14ac:dyDescent="0.75">
      <c r="B70" s="107"/>
      <c r="C70" s="107"/>
      <c r="D70" s="107"/>
      <c r="E70" s="244" t="s">
        <v>118</v>
      </c>
      <c r="F70" s="244"/>
      <c r="G70" s="1"/>
      <c r="H70" s="1"/>
      <c r="I70" s="1"/>
      <c r="J70" s="1"/>
      <c r="K70" s="1"/>
    </row>
    <row r="71" spans="2:11" x14ac:dyDescent="0.35">
      <c r="B71" s="107"/>
      <c r="C71" s="107"/>
      <c r="D71" s="107"/>
      <c r="E71" s="145"/>
      <c r="F71" s="145"/>
      <c r="G71" s="1"/>
      <c r="H71" s="1"/>
      <c r="I71" s="1"/>
      <c r="J71" s="1"/>
      <c r="K71" s="1"/>
    </row>
    <row r="72" spans="2:11" ht="16" thickBot="1" x14ac:dyDescent="0.4">
      <c r="B72" s="23" t="str">
        <f>Budget!A68</f>
        <v>Capital Item</v>
      </c>
      <c r="C72" s="34" t="str">
        <f>Budget!B68</f>
        <v>Unit Cost</v>
      </c>
      <c r="D72" s="33" t="str">
        <f>Budget!C68</f>
        <v>Years of Life</v>
      </c>
      <c r="E72" s="33" t="str">
        <f>Budget!D68</f>
        <v>Year 1</v>
      </c>
      <c r="F72" s="33" t="str">
        <f>Budget!E68</f>
        <v>Year 2</v>
      </c>
      <c r="G72" s="33" t="str">
        <f>Budget!F68</f>
        <v>Year 3</v>
      </c>
      <c r="H72" s="33" t="str">
        <f>Budget!G68</f>
        <v>Year 4</v>
      </c>
      <c r="I72" s="33" t="str">
        <f>Budget!H68</f>
        <v>Year 5</v>
      </c>
      <c r="J72" s="1"/>
      <c r="K72" s="1"/>
    </row>
    <row r="73" spans="2:11" x14ac:dyDescent="0.35">
      <c r="B73" s="25" t="str">
        <f>Budget!A69</f>
        <v>Nursery Bag</v>
      </c>
      <c r="C73" s="144">
        <f>Budget!B69</f>
        <v>7</v>
      </c>
      <c r="D73" s="140">
        <f>Budget!C69</f>
        <v>4</v>
      </c>
      <c r="E73" s="26">
        <f>Budget!D69</f>
        <v>175</v>
      </c>
      <c r="F73" s="26">
        <f>Budget!E69</f>
        <v>180</v>
      </c>
      <c r="G73" s="26">
        <f>Budget!F69</f>
        <v>185</v>
      </c>
      <c r="H73" s="26">
        <f>Budget!G69</f>
        <v>191</v>
      </c>
      <c r="I73" s="26">
        <f>Budget!H69</f>
        <v>197</v>
      </c>
      <c r="J73" s="1"/>
      <c r="K73" s="1"/>
    </row>
    <row r="74" spans="2:11" x14ac:dyDescent="0.35">
      <c r="B74" s="16" t="str">
        <f>Budget!A70</f>
        <v>Growout Bag</v>
      </c>
      <c r="C74" s="144">
        <f>Budget!B70</f>
        <v>6.2</v>
      </c>
      <c r="D74" s="141">
        <f>Budget!C70</f>
        <v>10</v>
      </c>
      <c r="E74" s="26">
        <f>Budget!D70</f>
        <v>404</v>
      </c>
      <c r="F74" s="26">
        <f>Budget!E70</f>
        <v>416</v>
      </c>
      <c r="G74" s="26">
        <f>Budget!F70</f>
        <v>428</v>
      </c>
      <c r="H74" s="26">
        <f>Budget!G70</f>
        <v>441</v>
      </c>
      <c r="I74" s="26">
        <f>Budget!H70</f>
        <v>454</v>
      </c>
      <c r="J74" s="1"/>
      <c r="K74" s="1"/>
    </row>
    <row r="75" spans="2:11" x14ac:dyDescent="0.35">
      <c r="B75" s="16" t="str">
        <f>Budget!A71</f>
        <v>Wet Suit</v>
      </c>
      <c r="C75" s="144">
        <f>Budget!B71</f>
        <v>250</v>
      </c>
      <c r="D75" s="141">
        <f>Budget!C71</f>
        <v>3</v>
      </c>
      <c r="E75" s="24">
        <f>Budget!D71</f>
        <v>83.333333333333329</v>
      </c>
      <c r="F75" s="24">
        <f>Budget!E71</f>
        <v>86</v>
      </c>
      <c r="G75" s="24">
        <f>Budget!F71</f>
        <v>89</v>
      </c>
      <c r="H75" s="24">
        <f>Budget!G71</f>
        <v>92</v>
      </c>
      <c r="I75" s="24">
        <f>Budget!H71</f>
        <v>95</v>
      </c>
      <c r="J75" s="1"/>
      <c r="K75" s="1"/>
    </row>
    <row r="76" spans="2:11" x14ac:dyDescent="0.35">
      <c r="B76" s="16" t="str">
        <f>Budget!A72</f>
        <v>Boat</v>
      </c>
      <c r="C76" s="144">
        <f>Budget!B72</f>
        <v>18000</v>
      </c>
      <c r="D76" s="141">
        <f>Budget!C72</f>
        <v>7</v>
      </c>
      <c r="E76" s="24">
        <f>Budget!D72</f>
        <v>0</v>
      </c>
      <c r="F76" s="24">
        <f>Budget!E72</f>
        <v>0</v>
      </c>
      <c r="G76" s="24">
        <f>Budget!F72</f>
        <v>0</v>
      </c>
      <c r="H76" s="24">
        <f>Budget!G72</f>
        <v>0</v>
      </c>
      <c r="I76" s="24">
        <f>Budget!H72</f>
        <v>0</v>
      </c>
      <c r="J76" s="1"/>
      <c r="K76" s="1"/>
    </row>
    <row r="77" spans="2:11" x14ac:dyDescent="0.35">
      <c r="B77" s="16" t="str">
        <f>Budget!A73</f>
        <v>Truck</v>
      </c>
      <c r="C77" s="144">
        <f>Budget!B73</f>
        <v>28000</v>
      </c>
      <c r="D77" s="141">
        <f>Budget!C73</f>
        <v>10</v>
      </c>
      <c r="E77" s="24">
        <f>Budget!D73</f>
        <v>0</v>
      </c>
      <c r="F77" s="24">
        <f>Budget!E73</f>
        <v>0</v>
      </c>
      <c r="G77" s="24">
        <f>Budget!F73</f>
        <v>0</v>
      </c>
      <c r="H77" s="24">
        <f>Budget!G73</f>
        <v>0</v>
      </c>
      <c r="I77" s="24">
        <f>Budget!H73</f>
        <v>0</v>
      </c>
      <c r="J77" s="1"/>
      <c r="K77" s="1"/>
    </row>
    <row r="78" spans="2:11" x14ac:dyDescent="0.35">
      <c r="B78" s="16" t="str">
        <f>Budget!A74</f>
        <v>Motor</v>
      </c>
      <c r="C78" s="144">
        <f>Budget!B74</f>
        <v>10000</v>
      </c>
      <c r="D78" s="141">
        <f>Budget!C74</f>
        <v>3</v>
      </c>
      <c r="E78" s="24">
        <f>Budget!D74</f>
        <v>0</v>
      </c>
      <c r="F78" s="24">
        <f>Budget!E74</f>
        <v>0</v>
      </c>
      <c r="G78" s="24">
        <f>Budget!F74</f>
        <v>0</v>
      </c>
      <c r="H78" s="24">
        <f>Budget!G74</f>
        <v>0</v>
      </c>
      <c r="I78" s="24">
        <f>Budget!H74</f>
        <v>0</v>
      </c>
      <c r="J78" s="1"/>
      <c r="K78" s="1"/>
    </row>
    <row r="79" spans="2:11" ht="44" thickBot="1" x14ac:dyDescent="0.4">
      <c r="B79" s="98" t="str">
        <f>Budget!A75</f>
        <v>Winch/Davit/Boom/Pulley/Batteries</v>
      </c>
      <c r="C79" s="129">
        <f>Budget!B75</f>
        <v>1000</v>
      </c>
      <c r="D79" s="142">
        <f>Budget!C75</f>
        <v>5</v>
      </c>
      <c r="E79" s="28">
        <f>Budget!D75</f>
        <v>200</v>
      </c>
      <c r="F79" s="28">
        <f>Budget!E75</f>
        <v>206</v>
      </c>
      <c r="G79" s="28">
        <f>Budget!F75</f>
        <v>212</v>
      </c>
      <c r="H79" s="28">
        <f>Budget!G75</f>
        <v>218</v>
      </c>
      <c r="I79" s="28">
        <f>Budget!H75</f>
        <v>225</v>
      </c>
      <c r="J79" s="1"/>
      <c r="K79" s="1"/>
    </row>
    <row r="80" spans="2:11" x14ac:dyDescent="0.35">
      <c r="B80" s="5" t="str">
        <f>Budget!A76</f>
        <v xml:space="preserve">Total Investment </v>
      </c>
      <c r="C80" s="6">
        <f>Budget!B76</f>
        <v>0</v>
      </c>
      <c r="D80" s="7">
        <f>Budget!C76</f>
        <v>0</v>
      </c>
      <c r="E80" s="15">
        <f>Budget!D76</f>
        <v>862.33333333333337</v>
      </c>
      <c r="F80" s="15">
        <f>Budget!E76</f>
        <v>888</v>
      </c>
      <c r="G80" s="15">
        <f>Budget!F76</f>
        <v>914</v>
      </c>
      <c r="H80" s="15">
        <f>Budget!G76</f>
        <v>942</v>
      </c>
      <c r="I80" s="15">
        <f>Budget!H76</f>
        <v>971</v>
      </c>
      <c r="J80" s="1"/>
      <c r="K80" s="1"/>
    </row>
    <row r="81" spans="2:11" x14ac:dyDescent="0.35">
      <c r="B81" s="7"/>
      <c r="C81" s="7"/>
      <c r="D81" s="7"/>
      <c r="E81" s="40"/>
      <c r="F81" s="40"/>
      <c r="G81" s="40"/>
      <c r="H81" s="40"/>
      <c r="I81" s="40"/>
      <c r="J81" s="1"/>
      <c r="K81" s="1"/>
    </row>
    <row r="82" spans="2:11" x14ac:dyDescent="0.35">
      <c r="B82" s="1"/>
      <c r="C82" s="1"/>
      <c r="D82" s="1"/>
      <c r="E82" s="4"/>
      <c r="F82" s="1"/>
      <c r="G82" s="1"/>
      <c r="H82" s="1"/>
      <c r="I82" s="1"/>
      <c r="J82" s="1"/>
      <c r="K82" s="1"/>
    </row>
    <row r="83" spans="2:11" ht="18.5" x14ac:dyDescent="0.45">
      <c r="B83" s="236" t="s">
        <v>75</v>
      </c>
      <c r="C83" s="236"/>
      <c r="D83" s="236"/>
      <c r="E83" s="236"/>
      <c r="F83" s="236"/>
      <c r="G83" s="236"/>
      <c r="H83" s="143"/>
      <c r="I83" s="143"/>
      <c r="J83" s="1"/>
      <c r="K83" s="1"/>
    </row>
    <row r="84" spans="2:11" ht="16" thickBot="1" x14ac:dyDescent="0.4">
      <c r="B84" s="33" t="s">
        <v>29</v>
      </c>
      <c r="C84" s="33"/>
      <c r="D84" s="34" t="s">
        <v>30</v>
      </c>
      <c r="E84" s="33" t="s">
        <v>31</v>
      </c>
      <c r="F84" s="33" t="s">
        <v>32</v>
      </c>
      <c r="G84" s="1"/>
      <c r="H84" s="1"/>
      <c r="I84" s="1"/>
      <c r="J84" s="1"/>
      <c r="K84" s="1"/>
    </row>
    <row r="85" spans="2:11" x14ac:dyDescent="0.35">
      <c r="B85" s="31" t="s">
        <v>33</v>
      </c>
      <c r="C85" s="31"/>
      <c r="D85" s="6"/>
      <c r="E85" s="7"/>
      <c r="F85" s="7"/>
      <c r="G85" s="1"/>
      <c r="H85" s="1"/>
      <c r="I85" s="1"/>
      <c r="J85" s="1"/>
      <c r="K85" s="1"/>
    </row>
    <row r="86" spans="2:11" x14ac:dyDescent="0.35">
      <c r="B86" s="7" t="s">
        <v>34</v>
      </c>
      <c r="C86" s="7"/>
      <c r="D86" s="50">
        <f>F13*D90</f>
        <v>480000.00000000012</v>
      </c>
      <c r="E86" s="51">
        <f>I7</f>
        <v>7.0000000000000007E-2</v>
      </c>
      <c r="F86" s="11">
        <f>E86*D86</f>
        <v>33600.000000000015</v>
      </c>
      <c r="G86" s="1"/>
      <c r="H86" s="1"/>
      <c r="I86" s="1"/>
      <c r="J86" s="1"/>
      <c r="K86" s="1"/>
    </row>
    <row r="87" spans="2:11" x14ac:dyDescent="0.35">
      <c r="B87" s="7" t="s">
        <v>35</v>
      </c>
      <c r="C87" s="7"/>
      <c r="D87" s="50">
        <f>F14*D90</f>
        <v>90000.000000000015</v>
      </c>
      <c r="E87" s="51">
        <f>I8</f>
        <v>0.05</v>
      </c>
      <c r="F87" s="11">
        <f>E87*D87</f>
        <v>4500.0000000000009</v>
      </c>
      <c r="G87" s="1"/>
      <c r="H87" s="1"/>
      <c r="I87" s="1"/>
      <c r="J87" s="1"/>
      <c r="K87" s="1"/>
    </row>
    <row r="88" spans="2:11" x14ac:dyDescent="0.35">
      <c r="B88" s="7" t="s">
        <v>36</v>
      </c>
      <c r="C88" s="7"/>
      <c r="D88" s="50">
        <f>F15*D90</f>
        <v>30000.000000000007</v>
      </c>
      <c r="E88" s="52">
        <f>I9</f>
        <v>3.5000000000000003E-2</v>
      </c>
      <c r="F88" s="13">
        <f>E88*D88</f>
        <v>1050.0000000000005</v>
      </c>
      <c r="G88" s="1"/>
      <c r="H88" s="1"/>
      <c r="I88" s="1"/>
      <c r="J88" s="1"/>
      <c r="K88" s="1"/>
    </row>
    <row r="89" spans="2:11" x14ac:dyDescent="0.35">
      <c r="B89" s="261"/>
      <c r="C89" s="261"/>
      <c r="D89" s="261"/>
      <c r="E89" s="261"/>
      <c r="F89" s="261"/>
      <c r="G89" s="261"/>
      <c r="H89" s="1"/>
      <c r="I89" s="1"/>
      <c r="J89" s="1"/>
      <c r="K89" s="1"/>
    </row>
    <row r="90" spans="2:11" x14ac:dyDescent="0.35">
      <c r="B90" s="5" t="s">
        <v>79</v>
      </c>
      <c r="C90" s="5"/>
      <c r="D90" s="50">
        <f>D93*F11</f>
        <v>600000.00000000012</v>
      </c>
      <c r="E90" s="51"/>
      <c r="F90" s="53">
        <f>SUM(F86:F88)</f>
        <v>39150.000000000015</v>
      </c>
      <c r="G90" s="1"/>
      <c r="H90" s="1"/>
      <c r="I90" s="1"/>
      <c r="J90" s="1"/>
      <c r="K90" s="1"/>
    </row>
    <row r="91" spans="2:11" x14ac:dyDescent="0.35">
      <c r="B91" s="261"/>
      <c r="C91" s="261"/>
      <c r="D91" s="261"/>
      <c r="E91" s="261"/>
      <c r="F91" s="261"/>
      <c r="G91" s="261"/>
      <c r="H91" s="1"/>
      <c r="I91" s="1"/>
      <c r="J91" s="1"/>
      <c r="K91" s="1"/>
    </row>
    <row r="92" spans="2:11" x14ac:dyDescent="0.35">
      <c r="B92" s="31" t="s">
        <v>14</v>
      </c>
      <c r="C92" s="31"/>
      <c r="D92" s="31"/>
      <c r="E92" s="50"/>
      <c r="F92" s="51"/>
      <c r="G92" s="11"/>
      <c r="H92" s="1"/>
      <c r="I92" s="1"/>
      <c r="J92" s="1"/>
      <c r="K92" s="1"/>
    </row>
    <row r="93" spans="2:11" x14ac:dyDescent="0.35">
      <c r="B93" s="7" t="s">
        <v>82</v>
      </c>
      <c r="C93" s="7"/>
      <c r="D93" s="50">
        <f>F5</f>
        <v>1000000</v>
      </c>
      <c r="E93" s="52">
        <f>I5</f>
        <v>6.0000000000000001E-3</v>
      </c>
      <c r="F93" s="11">
        <f>E93*D93</f>
        <v>6000</v>
      </c>
      <c r="G93" s="1"/>
      <c r="H93" s="1"/>
      <c r="I93" s="1"/>
      <c r="J93" s="1"/>
      <c r="K93" s="1"/>
    </row>
    <row r="94" spans="2:11" x14ac:dyDescent="0.35">
      <c r="B94" s="7" t="s">
        <v>83</v>
      </c>
      <c r="C94" s="7"/>
      <c r="D94" s="50">
        <f>F18+F17</f>
        <v>752</v>
      </c>
      <c r="E94" s="11">
        <f>D41</f>
        <v>2</v>
      </c>
      <c r="F94" s="11">
        <f>E94*D94</f>
        <v>1504</v>
      </c>
      <c r="G94" s="1"/>
      <c r="H94" s="1"/>
      <c r="I94" s="1"/>
      <c r="J94" s="1"/>
      <c r="K94" s="1"/>
    </row>
    <row r="95" spans="2:11" x14ac:dyDescent="0.35">
      <c r="B95" s="7" t="s">
        <v>84</v>
      </c>
      <c r="C95" s="7"/>
      <c r="D95" s="50">
        <f>C42</f>
        <v>205</v>
      </c>
      <c r="E95" s="51">
        <f>D42</f>
        <v>3.5</v>
      </c>
      <c r="F95" s="11">
        <f>ROUND(E95*D95,0)</f>
        <v>718</v>
      </c>
      <c r="G95" s="1"/>
      <c r="H95" s="1"/>
      <c r="I95" s="1"/>
      <c r="J95" s="1"/>
      <c r="K95" s="1"/>
    </row>
    <row r="96" spans="2:11" x14ac:dyDescent="0.35">
      <c r="B96" s="7" t="s">
        <v>85</v>
      </c>
      <c r="C96" s="7"/>
      <c r="D96" s="50">
        <f>C43</f>
        <v>205</v>
      </c>
      <c r="E96" s="51">
        <f>D43</f>
        <v>3.5</v>
      </c>
      <c r="F96" s="11">
        <f>ROUND(E96*D96,0)</f>
        <v>718</v>
      </c>
      <c r="G96" s="1"/>
      <c r="H96" s="1"/>
      <c r="I96" s="1"/>
      <c r="J96" s="1"/>
      <c r="K96" s="1"/>
    </row>
    <row r="97" spans="2:11" x14ac:dyDescent="0.35">
      <c r="B97" s="7" t="s">
        <v>109</v>
      </c>
      <c r="C97" s="7"/>
      <c r="D97" s="50"/>
      <c r="E97" s="4"/>
      <c r="F97" s="11">
        <f>D45</f>
        <v>2800</v>
      </c>
      <c r="G97" s="1"/>
      <c r="H97" s="1"/>
      <c r="I97" s="1"/>
      <c r="J97" s="1"/>
      <c r="K97" s="1"/>
    </row>
    <row r="98" spans="2:11" x14ac:dyDescent="0.35">
      <c r="B98" s="7" t="s">
        <v>86</v>
      </c>
      <c r="C98" s="7"/>
      <c r="D98" s="50">
        <f>C46</f>
        <v>662</v>
      </c>
      <c r="E98" s="51">
        <f>D46</f>
        <v>1.25</v>
      </c>
      <c r="F98" s="11">
        <f>ROUND(E98*D98,0)</f>
        <v>828</v>
      </c>
      <c r="G98" s="1"/>
      <c r="H98" s="1"/>
      <c r="I98" s="1"/>
      <c r="J98" s="1"/>
      <c r="K98" s="1"/>
    </row>
    <row r="99" spans="2:11" x14ac:dyDescent="0.35">
      <c r="B99" s="7" t="s">
        <v>87</v>
      </c>
      <c r="C99" s="7"/>
      <c r="D99" s="50">
        <f>C44</f>
        <v>1</v>
      </c>
      <c r="E99" s="11">
        <f>D44</f>
        <v>100</v>
      </c>
      <c r="F99" s="11">
        <f>D99*E99</f>
        <v>100</v>
      </c>
      <c r="G99" s="1"/>
      <c r="H99" s="1"/>
      <c r="I99" s="1"/>
      <c r="J99" s="1"/>
      <c r="K99" s="1"/>
    </row>
    <row r="100" spans="2:11" x14ac:dyDescent="0.35">
      <c r="B100" s="7" t="s">
        <v>105</v>
      </c>
      <c r="C100" s="7"/>
      <c r="D100" s="50"/>
      <c r="E100" s="11"/>
      <c r="F100" s="11">
        <f>D47</f>
        <v>4400</v>
      </c>
      <c r="G100" s="1"/>
      <c r="H100" s="1"/>
      <c r="I100" s="1"/>
      <c r="J100" s="1"/>
      <c r="K100" s="1"/>
    </row>
    <row r="101" spans="2:11" x14ac:dyDescent="0.35">
      <c r="B101" s="7" t="s">
        <v>80</v>
      </c>
      <c r="C101" s="7"/>
      <c r="D101" s="50"/>
      <c r="E101" s="51"/>
      <c r="F101" s="13">
        <f>D48</f>
        <v>250</v>
      </c>
      <c r="G101" s="1"/>
      <c r="H101" s="1"/>
      <c r="I101" s="1"/>
      <c r="J101" s="1"/>
      <c r="K101" s="1"/>
    </row>
    <row r="102" spans="2:11" x14ac:dyDescent="0.35">
      <c r="B102" s="5" t="s">
        <v>37</v>
      </c>
      <c r="C102" s="5"/>
      <c r="D102" s="5"/>
      <c r="E102" s="50"/>
      <c r="F102" s="11">
        <f>SUM(F93:F101)</f>
        <v>17318</v>
      </c>
      <c r="G102" s="53"/>
      <c r="H102" s="1"/>
      <c r="I102" s="1"/>
      <c r="J102" s="1"/>
      <c r="K102" s="1"/>
    </row>
    <row r="103" spans="2:11" x14ac:dyDescent="0.35">
      <c r="B103" s="261"/>
      <c r="C103" s="261"/>
      <c r="D103" s="261"/>
      <c r="E103" s="261"/>
      <c r="F103" s="261"/>
      <c r="G103" s="261"/>
      <c r="H103" s="1"/>
      <c r="I103" s="1"/>
      <c r="J103" s="1"/>
      <c r="K103" s="1"/>
    </row>
    <row r="104" spans="2:11" x14ac:dyDescent="0.35">
      <c r="B104" s="31" t="s">
        <v>38</v>
      </c>
      <c r="C104" s="31"/>
      <c r="D104" s="31"/>
      <c r="E104" s="50"/>
      <c r="F104" s="51"/>
      <c r="G104" s="11"/>
      <c r="H104" s="1"/>
      <c r="I104" s="1"/>
      <c r="J104" s="1"/>
      <c r="K104" s="1"/>
    </row>
    <row r="105" spans="2:11" x14ac:dyDescent="0.35">
      <c r="B105" s="123" t="s">
        <v>19</v>
      </c>
      <c r="C105" s="7"/>
      <c r="D105" s="7"/>
      <c r="E105" s="6"/>
      <c r="F105" s="7"/>
      <c r="G105" s="7"/>
      <c r="H105" s="1"/>
      <c r="I105" s="1"/>
      <c r="J105" s="1"/>
      <c r="K105" s="1"/>
    </row>
    <row r="106" spans="2:11" x14ac:dyDescent="0.35">
      <c r="B106" s="7" t="s">
        <v>114</v>
      </c>
      <c r="C106" s="7"/>
      <c r="D106" s="50">
        <f t="shared" ref="D106:E110" si="2">C50</f>
        <v>1</v>
      </c>
      <c r="E106" s="11">
        <f t="shared" si="2"/>
        <v>750</v>
      </c>
      <c r="F106" s="11">
        <f>E106*D106</f>
        <v>750</v>
      </c>
      <c r="G106" s="1"/>
      <c r="H106" s="1"/>
      <c r="I106" s="1"/>
      <c r="J106" s="1"/>
      <c r="K106" s="1"/>
    </row>
    <row r="107" spans="2:11" x14ac:dyDescent="0.35">
      <c r="B107" s="7" t="s">
        <v>115</v>
      </c>
      <c r="C107" s="7"/>
      <c r="D107" s="50">
        <f t="shared" si="2"/>
        <v>1</v>
      </c>
      <c r="E107" s="11">
        <f t="shared" si="2"/>
        <v>250</v>
      </c>
      <c r="F107" s="11">
        <f>D107*E107</f>
        <v>250</v>
      </c>
      <c r="G107" s="1"/>
      <c r="H107" s="1"/>
      <c r="I107" s="1"/>
      <c r="J107" s="1"/>
      <c r="K107" s="1"/>
    </row>
    <row r="108" spans="2:11" x14ac:dyDescent="0.35">
      <c r="B108" s="7" t="s">
        <v>81</v>
      </c>
      <c r="C108" s="7"/>
      <c r="D108" s="50">
        <f t="shared" si="2"/>
        <v>1</v>
      </c>
      <c r="E108" s="11">
        <f t="shared" si="2"/>
        <v>500</v>
      </c>
      <c r="F108" s="11">
        <f>E108*D108</f>
        <v>500</v>
      </c>
      <c r="G108" s="1"/>
      <c r="H108" s="1"/>
      <c r="I108" s="1"/>
      <c r="J108" s="1"/>
      <c r="K108" s="1"/>
    </row>
    <row r="109" spans="2:11" x14ac:dyDescent="0.35">
      <c r="B109" s="7" t="s">
        <v>112</v>
      </c>
      <c r="C109" s="7"/>
      <c r="D109" s="50">
        <f t="shared" si="2"/>
        <v>1</v>
      </c>
      <c r="E109" s="11">
        <f t="shared" si="2"/>
        <v>27</v>
      </c>
      <c r="F109" s="11">
        <f>D109*E109</f>
        <v>27</v>
      </c>
      <c r="G109" s="1"/>
      <c r="H109" s="1"/>
      <c r="I109" s="1"/>
      <c r="J109" s="1"/>
      <c r="K109" s="1"/>
    </row>
    <row r="110" spans="2:11" x14ac:dyDescent="0.35">
      <c r="B110" s="7" t="s">
        <v>113</v>
      </c>
      <c r="C110" s="7"/>
      <c r="D110" s="50">
        <f t="shared" si="2"/>
        <v>1</v>
      </c>
      <c r="E110" s="11">
        <f t="shared" si="2"/>
        <v>100</v>
      </c>
      <c r="F110" s="11">
        <f>E110*D110</f>
        <v>100</v>
      </c>
      <c r="G110" s="1"/>
      <c r="H110" s="1"/>
      <c r="I110" s="1"/>
      <c r="J110" s="1"/>
      <c r="K110" s="1"/>
    </row>
    <row r="111" spans="2:11" x14ac:dyDescent="0.35">
      <c r="B111" s="261"/>
      <c r="C111" s="261"/>
      <c r="D111" s="261"/>
      <c r="E111" s="261"/>
      <c r="F111" s="261"/>
      <c r="G111" s="261"/>
      <c r="H111" s="1"/>
      <c r="I111" s="1"/>
      <c r="J111" s="1"/>
      <c r="K111" s="1"/>
    </row>
    <row r="112" spans="2:11" x14ac:dyDescent="0.35">
      <c r="B112" s="7" t="s">
        <v>39</v>
      </c>
      <c r="C112" s="7"/>
      <c r="D112" s="7"/>
      <c r="E112" s="6"/>
      <c r="F112" s="11">
        <f>ROUND(AVERAGE(G29:K29),0)</f>
        <v>918</v>
      </c>
      <c r="G112" s="1"/>
      <c r="H112" s="1"/>
      <c r="I112" s="1"/>
      <c r="J112" s="1"/>
      <c r="K112" s="1"/>
    </row>
    <row r="113" spans="2:11" x14ac:dyDescent="0.35">
      <c r="B113" s="7" t="s">
        <v>40</v>
      </c>
      <c r="C113" s="7"/>
      <c r="D113" s="7"/>
      <c r="E113" s="6"/>
      <c r="F113" s="13">
        <f>AVERAGE(E80:I80)</f>
        <v>915.46666666666681</v>
      </c>
      <c r="G113" s="1"/>
      <c r="H113" s="1"/>
      <c r="I113" s="1"/>
      <c r="J113" s="1"/>
      <c r="K113" s="1"/>
    </row>
    <row r="114" spans="2:11" x14ac:dyDescent="0.35">
      <c r="B114" s="5" t="s">
        <v>41</v>
      </c>
      <c r="C114" s="5"/>
      <c r="D114" s="5"/>
      <c r="E114" s="6"/>
      <c r="F114" s="53">
        <f>SUM(F106:F113)</f>
        <v>3460.4666666666667</v>
      </c>
      <c r="G114" s="1"/>
      <c r="H114" s="1"/>
      <c r="I114" s="1"/>
      <c r="J114" s="1"/>
      <c r="K114" s="1"/>
    </row>
    <row r="115" spans="2:11" x14ac:dyDescent="0.35">
      <c r="B115" s="5"/>
      <c r="C115" s="5"/>
      <c r="D115" s="5"/>
      <c r="E115" s="6"/>
      <c r="F115" s="53"/>
      <c r="G115" s="1"/>
      <c r="H115" s="1"/>
      <c r="I115" s="1"/>
      <c r="J115" s="1"/>
      <c r="K115" s="1"/>
    </row>
    <row r="116" spans="2:11" x14ac:dyDescent="0.35">
      <c r="B116" s="31" t="s">
        <v>90</v>
      </c>
      <c r="C116" s="31"/>
      <c r="D116" s="31"/>
      <c r="E116" s="6"/>
      <c r="F116" s="53">
        <f>F114+F102</f>
        <v>20778.466666666667</v>
      </c>
      <c r="G116" s="1"/>
      <c r="H116" s="1"/>
      <c r="I116" s="1"/>
      <c r="J116" s="1"/>
      <c r="K116" s="1"/>
    </row>
    <row r="117" spans="2:11" x14ac:dyDescent="0.35">
      <c r="B117" s="31"/>
      <c r="C117" s="31"/>
      <c r="D117" s="31"/>
      <c r="E117" s="6"/>
      <c r="F117" s="11"/>
      <c r="G117" s="1"/>
      <c r="H117" s="1"/>
      <c r="I117" s="1"/>
      <c r="J117" s="1"/>
      <c r="K117" s="1"/>
    </row>
    <row r="118" spans="2:11" x14ac:dyDescent="0.35">
      <c r="B118" s="31" t="s">
        <v>122</v>
      </c>
      <c r="C118" s="31"/>
      <c r="D118" s="31"/>
      <c r="E118" s="6"/>
      <c r="F118" s="11"/>
      <c r="G118" s="1"/>
      <c r="H118" s="1"/>
      <c r="I118" s="1"/>
      <c r="J118" s="1"/>
      <c r="K118" s="1"/>
    </row>
    <row r="119" spans="2:11" x14ac:dyDescent="0.35">
      <c r="B119" s="123" t="s">
        <v>123</v>
      </c>
      <c r="C119" s="31"/>
      <c r="D119" s="31"/>
      <c r="E119" s="6"/>
      <c r="F119" s="11"/>
      <c r="G119" s="1"/>
      <c r="H119" s="1"/>
      <c r="I119" s="1"/>
      <c r="J119" s="1"/>
      <c r="K119" s="1"/>
    </row>
    <row r="120" spans="2:11" x14ac:dyDescent="0.35">
      <c r="B120" s="5" t="s">
        <v>119</v>
      </c>
      <c r="C120" s="31"/>
      <c r="D120" s="31"/>
      <c r="E120" s="6"/>
      <c r="F120" s="11">
        <f>F90-(F116-F113)</f>
        <v>19287.000000000015</v>
      </c>
      <c r="G120" s="1"/>
      <c r="H120" s="1"/>
      <c r="I120" s="1"/>
      <c r="J120" s="1"/>
      <c r="K120" s="1"/>
    </row>
    <row r="121" spans="2:11" x14ac:dyDescent="0.35">
      <c r="B121" s="5" t="s">
        <v>120</v>
      </c>
      <c r="C121" s="31"/>
      <c r="D121" s="31"/>
      <c r="E121" s="6"/>
      <c r="F121" s="157">
        <f>(F116-F113)/D90</f>
        <v>3.3104999999999996E-2</v>
      </c>
      <c r="G121" s="1"/>
      <c r="H121" s="1"/>
      <c r="I121" s="1"/>
      <c r="J121" s="1"/>
      <c r="K121" s="1"/>
    </row>
    <row r="122" spans="2:11" x14ac:dyDescent="0.35">
      <c r="B122" s="5" t="s">
        <v>121</v>
      </c>
      <c r="C122" s="31"/>
      <c r="D122" s="31"/>
      <c r="E122" s="6"/>
      <c r="F122" s="55">
        <f>((F116-F113)/(E86*(D86/D90)+E87*(D87/D90)+E88*(D88/D90)))/D93</f>
        <v>0.30441379310344829</v>
      </c>
      <c r="G122" s="1"/>
      <c r="H122" s="1"/>
      <c r="I122" s="1"/>
      <c r="J122" s="1"/>
      <c r="K122" s="1"/>
    </row>
    <row r="123" spans="2:11" x14ac:dyDescent="0.35">
      <c r="B123" s="5"/>
      <c r="C123" s="31"/>
      <c r="D123" s="31"/>
      <c r="E123" s="6"/>
      <c r="F123" s="55"/>
      <c r="G123" s="1"/>
      <c r="H123" s="1"/>
      <c r="I123" s="1"/>
      <c r="J123" s="1"/>
      <c r="K123" s="1"/>
    </row>
    <row r="124" spans="2:11" x14ac:dyDescent="0.35">
      <c r="B124" s="158" t="s">
        <v>90</v>
      </c>
      <c r="C124" s="156"/>
      <c r="D124" s="156"/>
      <c r="E124" s="156"/>
      <c r="F124" s="156"/>
      <c r="G124" s="156"/>
      <c r="H124" s="1"/>
      <c r="I124" s="1"/>
      <c r="J124" s="1"/>
      <c r="K124" s="1"/>
    </row>
    <row r="125" spans="2:11" x14ac:dyDescent="0.35">
      <c r="B125" s="5" t="s">
        <v>42</v>
      </c>
      <c r="C125" s="5"/>
      <c r="D125" s="5"/>
      <c r="E125" s="6"/>
      <c r="F125" s="11">
        <f>F90-F116</f>
        <v>18371.533333333347</v>
      </c>
      <c r="G125" s="1"/>
      <c r="H125" s="1"/>
      <c r="I125" s="1"/>
      <c r="J125" s="1"/>
      <c r="K125" s="1"/>
    </row>
    <row r="126" spans="2:11" x14ac:dyDescent="0.35">
      <c r="B126" s="5" t="s">
        <v>43</v>
      </c>
      <c r="C126" s="5"/>
      <c r="D126" s="5"/>
      <c r="E126" s="6"/>
      <c r="F126" s="54">
        <f>F116/D90</f>
        <v>3.4630777777777774E-2</v>
      </c>
      <c r="G126" s="1"/>
      <c r="H126" s="1"/>
      <c r="I126" s="1"/>
      <c r="J126" s="1"/>
      <c r="K126" s="1"/>
    </row>
    <row r="127" spans="2:11" x14ac:dyDescent="0.35">
      <c r="B127" s="5" t="s">
        <v>44</v>
      </c>
      <c r="C127" s="5"/>
      <c r="D127" s="5"/>
      <c r="E127" s="6"/>
      <c r="F127" s="55">
        <f>(F116/(E86*(D86/D90)+E87*(D87/D90)+E88*(D88/D90)))/D93</f>
        <v>0.31844393358876122</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whole" allowBlank="1" showInputMessage="1" showErrorMessage="1" sqref="E25:E28">
      <formula1>0</formula1>
      <formula2>1</formula2>
    </dataValidation>
    <dataValidation type="whole" operator="greaterThan" allowBlank="1" showInputMessage="1" showErrorMessage="1" sqref="C22:C28 D24:D28 E24 F53:I54 E50:E54 F5 E40:E41 F47:I47 E43:E48 D75:D79 C73:C79">
      <formula1>0</formula1>
    </dataValidation>
    <dataValidation type="decimal" operator="greaterThan" allowBlank="1" showInputMessage="1" showErrorMessage="1" sqref="I7:I9 I5 F6:F7 F9:F11">
      <formula1>0</formula1>
    </dataValidation>
    <dataValidation type="decimal" operator="greaterThanOrEqual" allowBlank="1" showInputMessage="1" showErrorMessage="1" sqref="F13:F15">
      <formula1>0</formula1>
    </dataValidation>
  </dataValidations>
  <pageMargins left="0.75" right="0.75" top="1" bottom="1" header="0.5" footer="0.5"/>
  <pageSetup orientation="portrait" horizontalDpi="4294967292" verticalDpi="429496729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27"/>
  <sheetViews>
    <sheetView workbookViewId="0">
      <selection activeCell="F15" sqref="F15"/>
    </sheetView>
  </sheetViews>
  <sheetFormatPr defaultColWidth="11" defaultRowHeight="15.5" x14ac:dyDescent="0.35"/>
  <sheetData>
    <row r="3" spans="2:11" ht="16" thickBot="1" x14ac:dyDescent="0.4">
      <c r="B3" s="1"/>
      <c r="C3" s="1"/>
      <c r="D3" s="1"/>
      <c r="E3" s="66"/>
      <c r="F3" s="37"/>
      <c r="G3" s="7"/>
      <c r="H3" s="1"/>
      <c r="I3" s="1"/>
      <c r="J3" s="1"/>
      <c r="K3" s="1"/>
    </row>
    <row r="4" spans="2:11" x14ac:dyDescent="0.35">
      <c r="B4" s="1"/>
      <c r="C4" s="1"/>
      <c r="D4" s="18" t="s">
        <v>51</v>
      </c>
      <c r="E4" s="117"/>
      <c r="F4" s="19" t="s">
        <v>50</v>
      </c>
      <c r="G4" s="1"/>
      <c r="H4" s="18" t="s">
        <v>53</v>
      </c>
      <c r="I4" s="19" t="s">
        <v>54</v>
      </c>
      <c r="J4" s="1"/>
      <c r="K4" s="1"/>
    </row>
    <row r="5" spans="2:11" x14ac:dyDescent="0.35">
      <c r="B5" s="1"/>
      <c r="C5" s="1"/>
      <c r="D5" s="239" t="s">
        <v>73</v>
      </c>
      <c r="E5" s="240"/>
      <c r="F5" s="56">
        <f>Budget!E5</f>
        <v>1000000</v>
      </c>
      <c r="G5" s="1"/>
      <c r="H5" s="22" t="s">
        <v>46</v>
      </c>
      <c r="I5" s="62">
        <f>Budget!H5</f>
        <v>6.0000000000000001E-3</v>
      </c>
      <c r="J5" s="1"/>
      <c r="K5" s="1"/>
    </row>
    <row r="6" spans="2:11" x14ac:dyDescent="0.35">
      <c r="B6" s="1"/>
      <c r="C6" s="1"/>
      <c r="D6" s="247" t="s">
        <v>60</v>
      </c>
      <c r="E6" s="248"/>
      <c r="F6" s="57">
        <f>Budget!E6</f>
        <v>10000</v>
      </c>
      <c r="G6" s="1"/>
      <c r="H6" s="43" t="s">
        <v>47</v>
      </c>
      <c r="I6" s="21">
        <f>Budget!H6</f>
        <v>0</v>
      </c>
      <c r="J6" s="1"/>
      <c r="K6" s="1"/>
    </row>
    <row r="7" spans="2:11" x14ac:dyDescent="0.35">
      <c r="B7" s="1"/>
      <c r="C7" s="1"/>
      <c r="D7" s="239" t="s">
        <v>55</v>
      </c>
      <c r="E7" s="240"/>
      <c r="F7" s="82">
        <f>Budget!E7</f>
        <v>1150</v>
      </c>
      <c r="G7" s="1"/>
      <c r="H7" s="20" t="s">
        <v>67</v>
      </c>
      <c r="I7" s="45">
        <f>Budget!H7</f>
        <v>7.0000000000000007E-2</v>
      </c>
      <c r="J7" s="1"/>
      <c r="K7" s="1"/>
    </row>
    <row r="8" spans="2:11" x14ac:dyDescent="0.35">
      <c r="B8" s="1"/>
      <c r="C8" s="1"/>
      <c r="D8" s="239" t="s">
        <v>56</v>
      </c>
      <c r="E8" s="240"/>
      <c r="F8" s="59"/>
      <c r="G8" s="1"/>
      <c r="H8" s="20" t="s">
        <v>62</v>
      </c>
      <c r="I8" s="45">
        <f>Budget!H8</f>
        <v>0.05</v>
      </c>
      <c r="J8" s="1"/>
      <c r="K8" s="1"/>
    </row>
    <row r="9" spans="2:11" ht="16" thickBot="1" x14ac:dyDescent="0.4">
      <c r="B9" s="1"/>
      <c r="C9" s="1"/>
      <c r="D9" s="237" t="s">
        <v>57</v>
      </c>
      <c r="E9" s="238"/>
      <c r="F9" s="60">
        <f>Budget!E9</f>
        <v>0.75</v>
      </c>
      <c r="G9" s="1"/>
      <c r="H9" s="44" t="s">
        <v>63</v>
      </c>
      <c r="I9" s="46">
        <f>Budget!H9</f>
        <v>3.5000000000000003E-2</v>
      </c>
      <c r="J9" s="1"/>
      <c r="K9" s="1"/>
    </row>
    <row r="10" spans="2:11" x14ac:dyDescent="0.35">
      <c r="B10" s="1"/>
      <c r="C10" s="1"/>
      <c r="D10" s="237" t="s">
        <v>58</v>
      </c>
      <c r="E10" s="238"/>
      <c r="F10" s="60">
        <f>Budget!E10</f>
        <v>0.8</v>
      </c>
      <c r="G10" s="1"/>
      <c r="H10" s="17"/>
      <c r="I10" s="1"/>
      <c r="J10" s="1"/>
      <c r="K10" s="1"/>
    </row>
    <row r="11" spans="2:11" x14ac:dyDescent="0.35">
      <c r="B11" s="1"/>
      <c r="C11" s="1"/>
      <c r="D11" s="237" t="s">
        <v>59</v>
      </c>
      <c r="E11" s="238"/>
      <c r="F11" s="132">
        <f>F9*F10</f>
        <v>0.60000000000000009</v>
      </c>
      <c r="G11" s="1"/>
      <c r="H11" s="138"/>
      <c r="I11" s="139"/>
      <c r="J11" s="1"/>
      <c r="K11" s="1"/>
    </row>
    <row r="12" spans="2:11" x14ac:dyDescent="0.35">
      <c r="B12" s="1"/>
      <c r="C12" s="1"/>
      <c r="D12" s="239" t="s">
        <v>52</v>
      </c>
      <c r="E12" s="240"/>
      <c r="F12" s="241"/>
      <c r="G12" s="1"/>
      <c r="H12" s="1"/>
      <c r="I12" s="1"/>
      <c r="J12" s="1"/>
      <c r="K12" s="1"/>
    </row>
    <row r="13" spans="2:11" x14ac:dyDescent="0.35">
      <c r="B13" s="1"/>
      <c r="C13" s="1"/>
      <c r="D13" s="237" t="s">
        <v>61</v>
      </c>
      <c r="E13" s="238"/>
      <c r="F13" s="60">
        <f>'Cash Cost Sensitivities (2)'!A23</f>
        <v>0.9</v>
      </c>
      <c r="G13" s="1"/>
      <c r="H13" s="1"/>
      <c r="I13" s="1"/>
      <c r="J13" s="1"/>
      <c r="K13" s="1"/>
    </row>
    <row r="14" spans="2:11" x14ac:dyDescent="0.35">
      <c r="B14" s="1"/>
      <c r="C14" s="1"/>
      <c r="D14" s="237" t="s">
        <v>62</v>
      </c>
      <c r="E14" s="238"/>
      <c r="F14" s="60">
        <f>'Cash Cost Sensitivities (2)'!B23</f>
        <v>0.1</v>
      </c>
      <c r="G14" s="1"/>
      <c r="H14" s="1"/>
      <c r="I14" s="1"/>
      <c r="J14" s="1"/>
      <c r="K14" s="1"/>
    </row>
    <row r="15" spans="2:11" x14ac:dyDescent="0.35">
      <c r="B15" s="1"/>
      <c r="C15" s="1"/>
      <c r="D15" s="237" t="s">
        <v>63</v>
      </c>
      <c r="E15" s="238"/>
      <c r="F15" s="105">
        <f>'Cash Cost Sensitivities (2)'!C23</f>
        <v>0</v>
      </c>
      <c r="G15" s="1"/>
      <c r="H15" s="1"/>
      <c r="I15" s="1"/>
      <c r="J15" s="1"/>
      <c r="K15" s="1"/>
    </row>
    <row r="16" spans="2:11" x14ac:dyDescent="0.35">
      <c r="B16" s="7"/>
      <c r="C16" s="7"/>
      <c r="D16" s="242" t="s">
        <v>103</v>
      </c>
      <c r="E16" s="243"/>
      <c r="F16" s="103"/>
      <c r="G16" s="1"/>
      <c r="H16" s="1"/>
      <c r="I16" s="1"/>
      <c r="J16" s="1"/>
      <c r="K16" s="1"/>
    </row>
    <row r="17" spans="2:11" x14ac:dyDescent="0.35">
      <c r="B17" s="1"/>
      <c r="C17" s="1"/>
      <c r="D17" s="250" t="s">
        <v>57</v>
      </c>
      <c r="E17" s="251"/>
      <c r="F17" s="106">
        <f>ROUND(F5/F6,0)</f>
        <v>100</v>
      </c>
      <c r="G17" s="1"/>
      <c r="H17" s="1"/>
      <c r="I17" s="1"/>
      <c r="J17" s="1"/>
      <c r="K17" s="1"/>
    </row>
    <row r="18" spans="2:11" ht="16" thickBot="1" x14ac:dyDescent="0.4">
      <c r="B18" s="2"/>
      <c r="C18" s="2"/>
      <c r="D18" s="252" t="s">
        <v>102</v>
      </c>
      <c r="E18" s="253"/>
      <c r="F18" s="104">
        <f>ROUND(F5*F9/F7,0)</f>
        <v>652</v>
      </c>
      <c r="G18" s="1"/>
      <c r="H18" s="1"/>
      <c r="I18" s="1"/>
      <c r="J18" s="1"/>
      <c r="K18" s="1"/>
    </row>
    <row r="19" spans="2:11" x14ac:dyDescent="0.35">
      <c r="B19" s="2"/>
      <c r="C19" s="2"/>
      <c r="D19" s="2"/>
      <c r="E19" s="14"/>
      <c r="F19" s="2"/>
      <c r="G19" s="1"/>
      <c r="H19" s="1"/>
      <c r="I19" s="1"/>
      <c r="J19" s="1"/>
      <c r="K19" s="1"/>
    </row>
    <row r="20" spans="2:11" ht="18.5" x14ac:dyDescent="0.45">
      <c r="B20" s="236" t="s">
        <v>12</v>
      </c>
      <c r="C20" s="236"/>
      <c r="D20" s="236"/>
      <c r="E20" s="236"/>
      <c r="F20" s="236"/>
      <c r="G20" s="236"/>
      <c r="H20" s="236"/>
      <c r="I20" s="236"/>
      <c r="J20" s="236"/>
      <c r="K20" s="236"/>
    </row>
    <row r="21" spans="2:11" ht="16" thickBot="1" x14ac:dyDescent="0.4">
      <c r="B21" s="23" t="s">
        <v>0</v>
      </c>
      <c r="C21" s="34" t="s">
        <v>1</v>
      </c>
      <c r="D21" s="33" t="s">
        <v>2</v>
      </c>
      <c r="E21" s="33" t="s">
        <v>72</v>
      </c>
      <c r="F21" s="33" t="s">
        <v>117</v>
      </c>
      <c r="G21" s="33" t="s">
        <v>3</v>
      </c>
      <c r="H21" s="33" t="s">
        <v>4</v>
      </c>
      <c r="I21" s="33" t="s">
        <v>5</v>
      </c>
      <c r="J21" s="33" t="s">
        <v>6</v>
      </c>
      <c r="K21" s="33" t="s">
        <v>7</v>
      </c>
    </row>
    <row r="22" spans="2:11" x14ac:dyDescent="0.35">
      <c r="B22" s="25" t="s">
        <v>8</v>
      </c>
      <c r="C22" s="68">
        <f>Budget!B22</f>
        <v>7</v>
      </c>
      <c r="D22" s="140">
        <f>Budget!C22</f>
        <v>4</v>
      </c>
      <c r="E22" s="146">
        <f>Budget!D22</f>
        <v>25</v>
      </c>
      <c r="F22" s="149">
        <f>Budget!E22</f>
        <v>175</v>
      </c>
      <c r="G22" s="149">
        <f>Budget!F22</f>
        <v>175</v>
      </c>
      <c r="H22" s="149">
        <f>Budget!G22</f>
        <v>180</v>
      </c>
      <c r="I22" s="149">
        <f>Budget!H22</f>
        <v>186</v>
      </c>
      <c r="J22" s="149">
        <f>Budget!I22</f>
        <v>191</v>
      </c>
      <c r="K22" s="149">
        <f>Budget!J22</f>
        <v>197</v>
      </c>
    </row>
    <row r="23" spans="2:11" x14ac:dyDescent="0.35">
      <c r="B23" s="16" t="s">
        <v>9</v>
      </c>
      <c r="C23" s="67">
        <f>Budget!B23</f>
        <v>6.2</v>
      </c>
      <c r="D23" s="141">
        <f>Budget!C23</f>
        <v>10</v>
      </c>
      <c r="E23" s="181">
        <f>Budget!D23</f>
        <v>65</v>
      </c>
      <c r="F23" s="150">
        <f>Budget!E23</f>
        <v>404</v>
      </c>
      <c r="G23" s="150">
        <f>Budget!F23</f>
        <v>403</v>
      </c>
      <c r="H23" s="150">
        <f>Budget!G23</f>
        <v>415</v>
      </c>
      <c r="I23" s="150">
        <f>Budget!H23</f>
        <v>428</v>
      </c>
      <c r="J23" s="150">
        <f>Budget!I23</f>
        <v>440</v>
      </c>
      <c r="K23" s="150">
        <f>Budget!J23</f>
        <v>454</v>
      </c>
    </row>
    <row r="24" spans="2:11" x14ac:dyDescent="0.35">
      <c r="B24" s="16" t="s">
        <v>10</v>
      </c>
      <c r="C24" s="67">
        <f>Budget!B24</f>
        <v>250</v>
      </c>
      <c r="D24" s="141">
        <f>Budget!C24</f>
        <v>3</v>
      </c>
      <c r="E24" s="182">
        <f>Budget!D24</f>
        <v>1</v>
      </c>
      <c r="F24" s="151">
        <f>Budget!E24</f>
        <v>0</v>
      </c>
      <c r="G24" s="150">
        <f>Budget!F24</f>
        <v>250</v>
      </c>
      <c r="H24" s="150">
        <f>Budget!G24</f>
        <v>0</v>
      </c>
      <c r="I24" s="150">
        <f>Budget!H24</f>
        <v>0</v>
      </c>
      <c r="J24" s="150">
        <f>Budget!I24</f>
        <v>273</v>
      </c>
      <c r="K24" s="150">
        <f>Budget!J24</f>
        <v>0</v>
      </c>
    </row>
    <row r="25" spans="2:11" x14ac:dyDescent="0.35">
      <c r="B25" s="16" t="s">
        <v>11</v>
      </c>
      <c r="C25" s="67">
        <f>Budget!B25</f>
        <v>18000</v>
      </c>
      <c r="D25" s="141">
        <f>Budget!C25</f>
        <v>7</v>
      </c>
      <c r="E25" s="141">
        <f>Budget!D25</f>
        <v>0</v>
      </c>
      <c r="F25" s="152">
        <f>Budget!E25</f>
        <v>0</v>
      </c>
      <c r="G25" s="150">
        <f>Budget!F25</f>
        <v>0</v>
      </c>
      <c r="H25" s="150">
        <f>Budget!G25</f>
        <v>0</v>
      </c>
      <c r="I25" s="150">
        <f>Budget!H25</f>
        <v>0</v>
      </c>
      <c r="J25" s="150">
        <f>Budget!I25</f>
        <v>0</v>
      </c>
      <c r="K25" s="150">
        <f>Budget!J25</f>
        <v>0</v>
      </c>
    </row>
    <row r="26" spans="2:11" x14ac:dyDescent="0.35">
      <c r="B26" s="16" t="s">
        <v>69</v>
      </c>
      <c r="C26" s="67">
        <f>Budget!B26</f>
        <v>28000</v>
      </c>
      <c r="D26" s="141">
        <f>Budget!C26</f>
        <v>10</v>
      </c>
      <c r="E26" s="141">
        <f>Budget!D26</f>
        <v>0</v>
      </c>
      <c r="F26" s="152">
        <f>Budget!E26</f>
        <v>0</v>
      </c>
      <c r="G26" s="150">
        <f>Budget!F26</f>
        <v>0</v>
      </c>
      <c r="H26" s="150">
        <f>Budget!G26</f>
        <v>0</v>
      </c>
      <c r="I26" s="150">
        <f>Budget!H26</f>
        <v>0</v>
      </c>
      <c r="J26" s="150">
        <f>Budget!I26</f>
        <v>0</v>
      </c>
      <c r="K26" s="150">
        <f>Budget!J26</f>
        <v>0</v>
      </c>
    </row>
    <row r="27" spans="2:11" x14ac:dyDescent="0.35">
      <c r="B27" s="16" t="s">
        <v>70</v>
      </c>
      <c r="C27" s="67">
        <f>Budget!B27</f>
        <v>10000</v>
      </c>
      <c r="D27" s="141">
        <f>Budget!C27</f>
        <v>3</v>
      </c>
      <c r="E27" s="141">
        <f>Budget!D27</f>
        <v>0</v>
      </c>
      <c r="F27" s="152">
        <f>Budget!E27</f>
        <v>0</v>
      </c>
      <c r="G27" s="150">
        <f>Budget!F27</f>
        <v>0</v>
      </c>
      <c r="H27" s="150">
        <f>Budget!G27</f>
        <v>0</v>
      </c>
      <c r="I27" s="150">
        <f>Budget!H27</f>
        <v>0</v>
      </c>
      <c r="J27" s="150">
        <f>Budget!I27</f>
        <v>0</v>
      </c>
      <c r="K27" s="150">
        <f>Budget!J27</f>
        <v>0</v>
      </c>
    </row>
    <row r="28" spans="2:11" ht="44" thickBot="1" x14ac:dyDescent="0.4">
      <c r="B28" s="98" t="s">
        <v>71</v>
      </c>
      <c r="C28" s="69">
        <f>Budget!B28</f>
        <v>1000</v>
      </c>
      <c r="D28" s="142">
        <f>Budget!C28</f>
        <v>5</v>
      </c>
      <c r="E28" s="142">
        <f>Budget!D28</f>
        <v>1</v>
      </c>
      <c r="F28" s="153">
        <f>Budget!E28</f>
        <v>0</v>
      </c>
      <c r="G28" s="154">
        <f>Budget!F28</f>
        <v>1000</v>
      </c>
      <c r="H28" s="154">
        <f>Budget!G28</f>
        <v>0</v>
      </c>
      <c r="I28" s="154">
        <f>Budget!H28</f>
        <v>0</v>
      </c>
      <c r="J28" s="154">
        <f>Budget!I28</f>
        <v>0</v>
      </c>
      <c r="K28" s="154">
        <f>Budget!J28</f>
        <v>0</v>
      </c>
    </row>
    <row r="29" spans="2:11" x14ac:dyDescent="0.35">
      <c r="B29" s="5" t="s">
        <v>45</v>
      </c>
      <c r="C29" s="6"/>
      <c r="D29" s="7"/>
      <c r="E29" s="7"/>
      <c r="F29" s="15"/>
      <c r="G29" s="15">
        <f>SUM(G22:G28)</f>
        <v>1828</v>
      </c>
      <c r="H29" s="15">
        <f>SUM(H22:H28)</f>
        <v>595</v>
      </c>
      <c r="I29" s="15">
        <f>SUM(I22:I28)</f>
        <v>614</v>
      </c>
      <c r="J29" s="15">
        <f>SUM(J22:J28)</f>
        <v>904</v>
      </c>
      <c r="K29" s="15">
        <f>SUM(K22:K28)</f>
        <v>651</v>
      </c>
    </row>
    <row r="30" spans="2:11" x14ac:dyDescent="0.35">
      <c r="B30" s="1"/>
      <c r="C30" s="1"/>
      <c r="D30" s="1"/>
      <c r="E30" s="4"/>
      <c r="F30" s="1"/>
      <c r="G30" s="1"/>
      <c r="H30" s="1"/>
      <c r="I30" s="1"/>
      <c r="J30" s="1"/>
      <c r="K30" s="1"/>
    </row>
    <row r="31" spans="2:11" x14ac:dyDescent="0.35">
      <c r="B31" s="107"/>
      <c r="C31" s="107"/>
      <c r="D31" s="107"/>
      <c r="E31" s="4"/>
      <c r="F31" s="1"/>
      <c r="G31" s="1"/>
      <c r="H31" s="1"/>
      <c r="I31" s="1"/>
      <c r="J31" s="1"/>
      <c r="K31" s="1"/>
    </row>
    <row r="32" spans="2:11" x14ac:dyDescent="0.35">
      <c r="B32" s="107"/>
      <c r="C32" s="107"/>
      <c r="D32" s="107"/>
      <c r="E32" s="4"/>
      <c r="F32" s="1"/>
      <c r="G32" s="1"/>
      <c r="H32" s="1"/>
      <c r="I32" s="1"/>
      <c r="J32" s="1"/>
      <c r="K32" s="1"/>
    </row>
    <row r="33" spans="2:11" x14ac:dyDescent="0.35">
      <c r="B33" s="107"/>
      <c r="C33" s="107"/>
      <c r="D33" s="107"/>
      <c r="E33" s="4"/>
      <c r="F33" s="1"/>
      <c r="G33" s="1"/>
      <c r="H33" s="1"/>
      <c r="I33" s="1"/>
      <c r="J33" s="1"/>
      <c r="K33" s="1"/>
    </row>
    <row r="34" spans="2:11" x14ac:dyDescent="0.35">
      <c r="B34" s="107"/>
      <c r="C34" s="107"/>
      <c r="D34" s="107"/>
      <c r="E34" s="4"/>
      <c r="F34" s="1"/>
      <c r="G34" s="1"/>
      <c r="H34" s="1"/>
      <c r="I34" s="1"/>
      <c r="J34" s="1"/>
      <c r="K34" s="1"/>
    </row>
    <row r="35" spans="2:11" x14ac:dyDescent="0.35">
      <c r="B35" s="107"/>
      <c r="C35" s="107"/>
      <c r="D35" s="107"/>
      <c r="E35" s="4"/>
      <c r="F35" s="1"/>
      <c r="G35" s="1"/>
      <c r="H35" s="1"/>
      <c r="I35" s="1"/>
      <c r="J35" s="1"/>
      <c r="K35" s="1"/>
    </row>
    <row r="36" spans="2:11" x14ac:dyDescent="0.35">
      <c r="B36" s="107"/>
      <c r="C36" s="107"/>
      <c r="D36" s="107"/>
      <c r="E36" s="4"/>
      <c r="F36" s="1"/>
      <c r="G36" s="1"/>
      <c r="H36" s="1"/>
      <c r="I36" s="1"/>
      <c r="J36" s="1"/>
      <c r="K36" s="1"/>
    </row>
    <row r="37" spans="2:11" ht="18.5" x14ac:dyDescent="0.45">
      <c r="B37" s="236" t="s">
        <v>14</v>
      </c>
      <c r="C37" s="236"/>
      <c r="D37" s="236"/>
      <c r="E37" s="236"/>
      <c r="F37" s="236"/>
      <c r="G37" s="236"/>
      <c r="H37" s="236"/>
      <c r="I37" s="236"/>
      <c r="J37" s="1"/>
      <c r="K37" s="1"/>
    </row>
    <row r="38" spans="2:11" ht="44" thickBot="1" x14ac:dyDescent="0.4">
      <c r="B38" s="33" t="s">
        <v>13</v>
      </c>
      <c r="C38" s="23" t="s">
        <v>107</v>
      </c>
      <c r="D38" s="122" t="s">
        <v>110</v>
      </c>
      <c r="E38" s="34" t="s">
        <v>3</v>
      </c>
      <c r="F38" s="33" t="s">
        <v>4</v>
      </c>
      <c r="G38" s="33" t="s">
        <v>5</v>
      </c>
      <c r="H38" s="33" t="s">
        <v>6</v>
      </c>
      <c r="I38" s="33" t="s">
        <v>7</v>
      </c>
      <c r="J38" s="1"/>
      <c r="K38" s="1"/>
    </row>
    <row r="39" spans="2:11" x14ac:dyDescent="0.35">
      <c r="B39" s="41" t="s">
        <v>14</v>
      </c>
      <c r="C39" s="1"/>
      <c r="D39" s="1"/>
      <c r="E39" s="32"/>
      <c r="F39" s="9"/>
      <c r="G39" s="9"/>
      <c r="H39" s="9"/>
      <c r="I39" s="102"/>
      <c r="J39" s="1"/>
      <c r="K39" s="1"/>
    </row>
    <row r="40" spans="2:11" x14ac:dyDescent="0.35">
      <c r="B40" s="25" t="s">
        <v>15</v>
      </c>
      <c r="C40" s="115">
        <f>F5</f>
        <v>1000000</v>
      </c>
      <c r="D40" s="118">
        <f>I5</f>
        <v>6.0000000000000001E-3</v>
      </c>
      <c r="E40" s="119">
        <f>C40*D40</f>
        <v>6000</v>
      </c>
      <c r="F40" s="30">
        <v>6000</v>
      </c>
      <c r="G40" s="30">
        <v>6000</v>
      </c>
      <c r="H40" s="30">
        <v>6000</v>
      </c>
      <c r="I40" s="30">
        <v>6000</v>
      </c>
      <c r="J40" s="12"/>
      <c r="K40" s="12"/>
    </row>
    <row r="41" spans="2:11" x14ac:dyDescent="0.35">
      <c r="B41" s="16" t="s">
        <v>108</v>
      </c>
      <c r="C41" s="116">
        <f>F17+F18</f>
        <v>752</v>
      </c>
      <c r="D41" s="67">
        <f>Budget!C35</f>
        <v>2</v>
      </c>
      <c r="E41" s="125">
        <f>C41*D41</f>
        <v>1504</v>
      </c>
      <c r="F41" s="29">
        <f>ROUND(E41+E41*0.03,0)</f>
        <v>1549</v>
      </c>
      <c r="G41" s="29">
        <f>ROUND(F41+F41*0.03,0)</f>
        <v>1595</v>
      </c>
      <c r="H41" s="29">
        <f t="shared" ref="H41:I52" si="0">ROUND(G41+G41*0.03,0)</f>
        <v>1643</v>
      </c>
      <c r="I41" s="29">
        <f t="shared" si="0"/>
        <v>1692</v>
      </c>
      <c r="J41" s="1"/>
      <c r="K41" s="1"/>
    </row>
    <row r="42" spans="2:11" x14ac:dyDescent="0.35">
      <c r="B42" s="16" t="s">
        <v>16</v>
      </c>
      <c r="C42" s="131">
        <f>Budget!B36</f>
        <v>205</v>
      </c>
      <c r="D42" s="67">
        <f>Budget!C36</f>
        <v>3.5</v>
      </c>
      <c r="E42" s="125">
        <f>C42*D42</f>
        <v>717.5</v>
      </c>
      <c r="F42" s="29">
        <f t="shared" ref="F42:G48" si="1">ROUND(E42+E42*0.03,0)</f>
        <v>739</v>
      </c>
      <c r="G42" s="29">
        <f t="shared" si="1"/>
        <v>761</v>
      </c>
      <c r="H42" s="29">
        <f t="shared" si="0"/>
        <v>784</v>
      </c>
      <c r="I42" s="29">
        <f t="shared" si="0"/>
        <v>808</v>
      </c>
      <c r="J42" s="1"/>
      <c r="K42" s="1"/>
    </row>
    <row r="43" spans="2:11" x14ac:dyDescent="0.35">
      <c r="B43" s="16" t="s">
        <v>17</v>
      </c>
      <c r="C43" s="131">
        <f>Budget!B37</f>
        <v>205</v>
      </c>
      <c r="D43" s="67">
        <f>Budget!C37</f>
        <v>3.5</v>
      </c>
      <c r="E43" s="125">
        <f>C43*D43</f>
        <v>717.5</v>
      </c>
      <c r="F43" s="29">
        <f t="shared" si="1"/>
        <v>739</v>
      </c>
      <c r="G43" s="29">
        <f t="shared" si="1"/>
        <v>761</v>
      </c>
      <c r="H43" s="29">
        <f t="shared" si="0"/>
        <v>784</v>
      </c>
      <c r="I43" s="29">
        <f t="shared" si="0"/>
        <v>808</v>
      </c>
      <c r="J43" s="1"/>
      <c r="K43" s="1"/>
    </row>
    <row r="44" spans="2:11" x14ac:dyDescent="0.35">
      <c r="B44" s="16" t="s">
        <v>18</v>
      </c>
      <c r="C44" s="164">
        <f>Budget!B38</f>
        <v>1</v>
      </c>
      <c r="D44" s="67">
        <f>Budget!C38</f>
        <v>100</v>
      </c>
      <c r="E44" s="125">
        <f>C44*D44</f>
        <v>100</v>
      </c>
      <c r="F44" s="29">
        <f t="shared" si="1"/>
        <v>103</v>
      </c>
      <c r="G44" s="29">
        <f t="shared" si="1"/>
        <v>106</v>
      </c>
      <c r="H44" s="29">
        <f t="shared" si="0"/>
        <v>109</v>
      </c>
      <c r="I44" s="29">
        <f t="shared" si="0"/>
        <v>112</v>
      </c>
      <c r="J44" s="1"/>
      <c r="K44" s="1"/>
    </row>
    <row r="45" spans="2:11" x14ac:dyDescent="0.35">
      <c r="B45" s="16" t="s">
        <v>77</v>
      </c>
      <c r="C45" s="121"/>
      <c r="D45" s="67">
        <f>Budget!C39</f>
        <v>2800</v>
      </c>
      <c r="E45" s="125">
        <f>D45</f>
        <v>2800</v>
      </c>
      <c r="F45" s="29">
        <f t="shared" si="1"/>
        <v>2884</v>
      </c>
      <c r="G45" s="29">
        <f t="shared" si="1"/>
        <v>2971</v>
      </c>
      <c r="H45" s="29">
        <f t="shared" si="0"/>
        <v>3060</v>
      </c>
      <c r="I45" s="29">
        <f t="shared" si="0"/>
        <v>3152</v>
      </c>
      <c r="J45" s="1"/>
      <c r="K45" s="1"/>
    </row>
    <row r="46" spans="2:11" x14ac:dyDescent="0.35">
      <c r="B46" s="16" t="s">
        <v>78</v>
      </c>
      <c r="C46" s="120">
        <f>ROUND(0.75*F17+0.9*F18,0)</f>
        <v>662</v>
      </c>
      <c r="D46" s="67">
        <f>Budget!C40</f>
        <v>1.25</v>
      </c>
      <c r="E46" s="125">
        <f>C46*D46</f>
        <v>827.5</v>
      </c>
      <c r="F46" s="29">
        <f t="shared" si="1"/>
        <v>852</v>
      </c>
      <c r="G46" s="29">
        <f t="shared" si="1"/>
        <v>878</v>
      </c>
      <c r="H46" s="29">
        <f t="shared" si="0"/>
        <v>904</v>
      </c>
      <c r="I46" s="29">
        <f t="shared" si="0"/>
        <v>931</v>
      </c>
      <c r="J46" s="1"/>
      <c r="K46" s="1"/>
    </row>
    <row r="47" spans="2:11" x14ac:dyDescent="0.35">
      <c r="B47" s="16" t="s">
        <v>111</v>
      </c>
      <c r="C47" s="120"/>
      <c r="D47" s="67">
        <f>Budget!C41</f>
        <v>4400</v>
      </c>
      <c r="E47" s="125">
        <f>D47</f>
        <v>4400</v>
      </c>
      <c r="F47" s="119">
        <f t="shared" si="1"/>
        <v>4532</v>
      </c>
      <c r="G47" s="119">
        <f t="shared" si="1"/>
        <v>4668</v>
      </c>
      <c r="H47" s="119">
        <f t="shared" si="0"/>
        <v>4808</v>
      </c>
      <c r="I47" s="119">
        <f t="shared" si="0"/>
        <v>4952</v>
      </c>
      <c r="J47" s="1"/>
      <c r="K47" s="1"/>
    </row>
    <row r="48" spans="2:11" x14ac:dyDescent="0.35">
      <c r="B48" s="16" t="s">
        <v>66</v>
      </c>
      <c r="C48" s="120"/>
      <c r="D48" s="67">
        <f>Budget!C42</f>
        <v>250</v>
      </c>
      <c r="E48" s="125">
        <f>D48</f>
        <v>250</v>
      </c>
      <c r="F48" s="29">
        <f t="shared" si="1"/>
        <v>258</v>
      </c>
      <c r="G48" s="29">
        <f t="shared" si="1"/>
        <v>266</v>
      </c>
      <c r="H48" s="29">
        <f t="shared" si="0"/>
        <v>274</v>
      </c>
      <c r="I48" s="29">
        <f t="shared" si="0"/>
        <v>282</v>
      </c>
      <c r="J48" s="1"/>
      <c r="K48" s="1"/>
    </row>
    <row r="49" spans="2:11" x14ac:dyDescent="0.35">
      <c r="B49" s="42" t="s">
        <v>68</v>
      </c>
      <c r="C49" s="114"/>
      <c r="D49" s="114"/>
      <c r="E49" s="126"/>
      <c r="F49" s="35"/>
      <c r="G49" s="35"/>
      <c r="H49" s="35"/>
      <c r="I49" s="36"/>
      <c r="J49" s="12"/>
      <c r="K49" s="12"/>
    </row>
    <row r="50" spans="2:11" x14ac:dyDescent="0.35">
      <c r="B50" s="16" t="s">
        <v>48</v>
      </c>
      <c r="C50" s="47">
        <f>Budget!B44</f>
        <v>1</v>
      </c>
      <c r="D50" s="47">
        <f>Budget!C44</f>
        <v>750</v>
      </c>
      <c r="E50" s="127">
        <v>750</v>
      </c>
      <c r="F50" s="29">
        <f>ROUND(E50+E50*0.03,0)</f>
        <v>773</v>
      </c>
      <c r="G50" s="29">
        <f>ROUND(F50+F50*0.03,0)</f>
        <v>796</v>
      </c>
      <c r="H50" s="29">
        <f t="shared" si="0"/>
        <v>820</v>
      </c>
      <c r="I50" s="29">
        <f t="shared" si="0"/>
        <v>845</v>
      </c>
      <c r="J50" s="1"/>
      <c r="K50" s="1"/>
    </row>
    <row r="51" spans="2:11" x14ac:dyDescent="0.35">
      <c r="B51" s="16" t="s">
        <v>49</v>
      </c>
      <c r="C51" s="47">
        <f>Budget!B45</f>
        <v>1</v>
      </c>
      <c r="D51" s="47">
        <f>Budget!C45</f>
        <v>250</v>
      </c>
      <c r="E51" s="127">
        <v>250</v>
      </c>
      <c r="F51" s="29">
        <v>250</v>
      </c>
      <c r="G51" s="29">
        <v>250</v>
      </c>
      <c r="H51" s="29">
        <v>250</v>
      </c>
      <c r="I51" s="29">
        <v>250</v>
      </c>
      <c r="J51" s="1"/>
      <c r="K51" s="1"/>
    </row>
    <row r="52" spans="2:11" x14ac:dyDescent="0.35">
      <c r="B52" s="16" t="s">
        <v>20</v>
      </c>
      <c r="C52" s="47">
        <f>Budget!B46</f>
        <v>1</v>
      </c>
      <c r="D52" s="47">
        <f>Budget!C46</f>
        <v>500</v>
      </c>
      <c r="E52" s="127">
        <v>500</v>
      </c>
      <c r="F52" s="29">
        <f>ROUND(E52+E52*0.03,0)</f>
        <v>515</v>
      </c>
      <c r="G52" s="29">
        <f>ROUND(F52+F52*0.03,0)</f>
        <v>530</v>
      </c>
      <c r="H52" s="29">
        <f t="shared" si="0"/>
        <v>546</v>
      </c>
      <c r="I52" s="29">
        <f t="shared" si="0"/>
        <v>562</v>
      </c>
      <c r="J52" s="1"/>
      <c r="K52" s="1"/>
    </row>
    <row r="53" spans="2:11" x14ac:dyDescent="0.35">
      <c r="B53" s="108" t="s">
        <v>104</v>
      </c>
      <c r="C53" s="130">
        <f>Budget!B47</f>
        <v>1</v>
      </c>
      <c r="D53" s="130">
        <f>Budget!C47</f>
        <v>27</v>
      </c>
      <c r="E53" s="128">
        <v>27</v>
      </c>
      <c r="F53" s="109">
        <v>27</v>
      </c>
      <c r="G53" s="109">
        <v>27</v>
      </c>
      <c r="H53" s="109">
        <v>27</v>
      </c>
      <c r="I53" s="109">
        <v>27</v>
      </c>
      <c r="J53" s="1"/>
      <c r="K53" s="1"/>
    </row>
    <row r="54" spans="2:11" ht="16" thickBot="1" x14ac:dyDescent="0.4">
      <c r="B54" s="27" t="s">
        <v>21</v>
      </c>
      <c r="C54" s="48">
        <f>Budget!B48</f>
        <v>1</v>
      </c>
      <c r="D54" s="48">
        <f>Budget!C48</f>
        <v>100</v>
      </c>
      <c r="E54" s="129">
        <v>100</v>
      </c>
      <c r="F54" s="110">
        <v>100</v>
      </c>
      <c r="G54" s="110">
        <v>100</v>
      </c>
      <c r="H54" s="110">
        <v>100</v>
      </c>
      <c r="I54" s="110">
        <v>100</v>
      </c>
      <c r="J54" s="1"/>
      <c r="K54" s="1"/>
    </row>
    <row r="55" spans="2:11" x14ac:dyDescent="0.35">
      <c r="B55" s="3" t="s">
        <v>22</v>
      </c>
      <c r="C55" s="3"/>
      <c r="D55" s="3"/>
      <c r="E55" s="10">
        <f>SUM(E40:E54)</f>
        <v>18943.5</v>
      </c>
      <c r="F55" s="10">
        <f>SUM(F40:F54)</f>
        <v>19321</v>
      </c>
      <c r="G55" s="10">
        <f>SUM(G40:G54)</f>
        <v>19709</v>
      </c>
      <c r="H55" s="10">
        <f>SUM(H40:H54)</f>
        <v>20109</v>
      </c>
      <c r="I55" s="10">
        <f>SUM(I40:I54)</f>
        <v>20521</v>
      </c>
      <c r="J55" s="1"/>
      <c r="K55" s="1"/>
    </row>
    <row r="56" spans="2:11" x14ac:dyDescent="0.35">
      <c r="B56" s="3"/>
      <c r="C56" s="3"/>
      <c r="D56" s="3"/>
      <c r="E56" s="10"/>
      <c r="F56" s="10"/>
      <c r="G56" s="10"/>
      <c r="H56" s="10"/>
      <c r="I56" s="10"/>
      <c r="J56" s="1"/>
      <c r="K56" s="1"/>
    </row>
    <row r="57" spans="2:11" x14ac:dyDescent="0.35">
      <c r="B57" s="3"/>
      <c r="C57" s="3"/>
      <c r="D57" s="3"/>
      <c r="E57" s="10"/>
      <c r="F57" s="10"/>
      <c r="G57" s="10"/>
      <c r="H57" s="10"/>
      <c r="I57" s="10"/>
      <c r="J57" s="1"/>
      <c r="K57" s="1"/>
    </row>
    <row r="58" spans="2:11" x14ac:dyDescent="0.35">
      <c r="B58" s="1"/>
      <c r="C58" s="1"/>
      <c r="D58" s="1"/>
      <c r="E58" s="8"/>
      <c r="F58" s="8"/>
      <c r="G58" s="8"/>
      <c r="H58" s="8"/>
      <c r="I58" s="8"/>
      <c r="J58" s="1"/>
      <c r="K58" s="1"/>
    </row>
    <row r="59" spans="2:11" ht="18.5" x14ac:dyDescent="0.45">
      <c r="B59" s="236" t="s">
        <v>76</v>
      </c>
      <c r="C59" s="236"/>
      <c r="D59" s="236"/>
      <c r="E59" s="236"/>
      <c r="F59" s="236"/>
      <c r="G59" s="236"/>
      <c r="H59" s="236"/>
      <c r="I59" s="236"/>
      <c r="J59" s="1"/>
      <c r="K59" s="1"/>
    </row>
    <row r="60" spans="2:11" ht="16" thickBot="1" x14ac:dyDescent="0.4">
      <c r="B60" s="37"/>
      <c r="C60" s="34" t="s">
        <v>3</v>
      </c>
      <c r="D60" s="33" t="s">
        <v>4</v>
      </c>
      <c r="E60" s="33" t="s">
        <v>5</v>
      </c>
      <c r="F60" s="33" t="s">
        <v>6</v>
      </c>
      <c r="G60" s="33" t="s">
        <v>7</v>
      </c>
      <c r="H60" s="1"/>
      <c r="I60" s="1"/>
      <c r="J60" s="1"/>
      <c r="K60" s="1"/>
    </row>
    <row r="61" spans="2:11" x14ac:dyDescent="0.35">
      <c r="B61" s="25" t="s">
        <v>23</v>
      </c>
      <c r="C61" s="155">
        <f>Budget!$B$56</f>
        <v>0</v>
      </c>
      <c r="D61" s="39">
        <f>C68</f>
        <v>20028.500000000015</v>
      </c>
      <c r="E61" s="39">
        <f>D68</f>
        <v>40912.500000000029</v>
      </c>
      <c r="F61" s="39">
        <f>E68</f>
        <v>61389.500000000044</v>
      </c>
      <c r="G61" s="39">
        <f>F68</f>
        <v>81176.500000000058</v>
      </c>
      <c r="H61" s="1"/>
      <c r="I61" s="1"/>
      <c r="J61" s="1"/>
      <c r="K61" s="1"/>
    </row>
    <row r="62" spans="2:11" x14ac:dyDescent="0.35">
      <c r="B62" s="16" t="s">
        <v>24</v>
      </c>
      <c r="C62" s="38">
        <f>F90</f>
        <v>40800.000000000015</v>
      </c>
      <c r="D62" s="38">
        <f>F90</f>
        <v>40800.000000000015</v>
      </c>
      <c r="E62" s="38">
        <f>F90</f>
        <v>40800.000000000015</v>
      </c>
      <c r="F62" s="38">
        <f>F90</f>
        <v>40800.000000000015</v>
      </c>
      <c r="G62" s="38">
        <f>F90</f>
        <v>40800.000000000015</v>
      </c>
      <c r="H62" s="1"/>
      <c r="I62" s="1"/>
      <c r="J62" s="1"/>
      <c r="K62" s="1"/>
    </row>
    <row r="63" spans="2:11" x14ac:dyDescent="0.35">
      <c r="B63" s="16" t="s">
        <v>25</v>
      </c>
      <c r="C63" s="38"/>
      <c r="D63" s="38"/>
      <c r="E63" s="38"/>
      <c r="F63" s="38"/>
      <c r="G63" s="38"/>
      <c r="H63" s="1"/>
      <c r="I63" s="1"/>
      <c r="J63" s="1"/>
      <c r="K63" s="1"/>
    </row>
    <row r="64" spans="2:11" x14ac:dyDescent="0.35">
      <c r="B64" s="16" t="s">
        <v>64</v>
      </c>
      <c r="C64" s="38">
        <f>E55</f>
        <v>18943.5</v>
      </c>
      <c r="D64" s="38">
        <f>F55</f>
        <v>19321</v>
      </c>
      <c r="E64" s="38">
        <f>G55</f>
        <v>19709</v>
      </c>
      <c r="F64" s="38">
        <f>H55</f>
        <v>20109</v>
      </c>
      <c r="G64" s="38">
        <f>I55</f>
        <v>20521</v>
      </c>
      <c r="H64" s="1"/>
      <c r="I64" s="1"/>
      <c r="J64" s="1"/>
      <c r="K64" s="1"/>
    </row>
    <row r="65" spans="2:11" x14ac:dyDescent="0.35">
      <c r="B65" s="16" t="s">
        <v>65</v>
      </c>
      <c r="C65" s="38">
        <f>G29</f>
        <v>1828</v>
      </c>
      <c r="D65" s="38">
        <f>H29</f>
        <v>595</v>
      </c>
      <c r="E65" s="38">
        <f>I29</f>
        <v>614</v>
      </c>
      <c r="F65" s="38">
        <f>J29</f>
        <v>904</v>
      </c>
      <c r="G65" s="38">
        <f>K29</f>
        <v>651</v>
      </c>
      <c r="H65" s="1"/>
      <c r="I65" s="1"/>
      <c r="J65" s="1"/>
      <c r="K65" s="1"/>
    </row>
    <row r="66" spans="2:11" x14ac:dyDescent="0.35">
      <c r="B66" s="16" t="s">
        <v>28</v>
      </c>
      <c r="C66" s="38">
        <f>C64+C65</f>
        <v>20771.5</v>
      </c>
      <c r="D66" s="38">
        <f>D64+D65</f>
        <v>19916</v>
      </c>
      <c r="E66" s="38">
        <f>E64+E65</f>
        <v>20323</v>
      </c>
      <c r="F66" s="38">
        <f>F64+F65</f>
        <v>21013</v>
      </c>
      <c r="G66" s="38">
        <f>G64+G65</f>
        <v>21172</v>
      </c>
      <c r="H66" s="1"/>
      <c r="I66" s="1"/>
      <c r="J66" s="1"/>
      <c r="K66" s="1"/>
    </row>
    <row r="67" spans="2:11" x14ac:dyDescent="0.35">
      <c r="B67" s="16" t="s">
        <v>26</v>
      </c>
      <c r="C67" s="38">
        <f>C62-C66</f>
        <v>20028.500000000015</v>
      </c>
      <c r="D67" s="38">
        <f>D62-D66</f>
        <v>20884.000000000015</v>
      </c>
      <c r="E67" s="38">
        <f>E62-E66</f>
        <v>20477.000000000015</v>
      </c>
      <c r="F67" s="38">
        <f>F62-F66</f>
        <v>19787.000000000015</v>
      </c>
      <c r="G67" s="38">
        <f>G62-G66</f>
        <v>19628.000000000015</v>
      </c>
      <c r="H67" s="1"/>
      <c r="I67" s="1"/>
      <c r="J67" s="1"/>
      <c r="K67" s="1"/>
    </row>
    <row r="68" spans="2:11" x14ac:dyDescent="0.35">
      <c r="B68" s="16" t="s">
        <v>27</v>
      </c>
      <c r="C68" s="38">
        <f>C61+C67</f>
        <v>20028.500000000015</v>
      </c>
      <c r="D68" s="38">
        <f>D61+D67</f>
        <v>40912.500000000029</v>
      </c>
      <c r="E68" s="38">
        <f>E61+E67</f>
        <v>61389.500000000044</v>
      </c>
      <c r="F68" s="38">
        <f>F61+F67</f>
        <v>81176.500000000058</v>
      </c>
      <c r="G68" s="38">
        <f>G61+G67</f>
        <v>100804.50000000007</v>
      </c>
      <c r="H68" s="1"/>
      <c r="I68" s="1"/>
      <c r="J68" s="1"/>
      <c r="K68" s="1"/>
    </row>
    <row r="69" spans="2:11" x14ac:dyDescent="0.35">
      <c r="B69" s="7"/>
      <c r="C69" s="7"/>
      <c r="D69" s="7"/>
      <c r="E69" s="40"/>
      <c r="F69" s="40"/>
      <c r="G69" s="40"/>
      <c r="H69" s="40"/>
      <c r="I69" s="40"/>
      <c r="J69" s="1"/>
      <c r="K69" s="1"/>
    </row>
    <row r="70" spans="2:11" ht="21.5" x14ac:dyDescent="0.75">
      <c r="B70" s="107"/>
      <c r="C70" s="107"/>
      <c r="D70" s="107"/>
      <c r="E70" s="244" t="s">
        <v>118</v>
      </c>
      <c r="F70" s="244"/>
      <c r="G70" s="1"/>
      <c r="H70" s="1"/>
      <c r="I70" s="1"/>
      <c r="J70" s="1"/>
      <c r="K70" s="1"/>
    </row>
    <row r="71" spans="2:11" x14ac:dyDescent="0.35">
      <c r="B71" s="107"/>
      <c r="C71" s="107"/>
      <c r="D71" s="107"/>
      <c r="E71" s="145"/>
      <c r="F71" s="145"/>
      <c r="G71" s="1"/>
      <c r="H71" s="1"/>
      <c r="I71" s="1"/>
      <c r="J71" s="1"/>
      <c r="K71" s="1"/>
    </row>
    <row r="72" spans="2:11" ht="16" thickBot="1" x14ac:dyDescent="0.4">
      <c r="B72" s="23" t="str">
        <f>Budget!A68</f>
        <v>Capital Item</v>
      </c>
      <c r="C72" s="34" t="str">
        <f>Budget!B68</f>
        <v>Unit Cost</v>
      </c>
      <c r="D72" s="33" t="str">
        <f>Budget!C68</f>
        <v>Years of Life</v>
      </c>
      <c r="E72" s="33" t="str">
        <f>Budget!D68</f>
        <v>Year 1</v>
      </c>
      <c r="F72" s="33" t="str">
        <f>Budget!E68</f>
        <v>Year 2</v>
      </c>
      <c r="G72" s="33" t="str">
        <f>Budget!F68</f>
        <v>Year 3</v>
      </c>
      <c r="H72" s="33" t="str">
        <f>Budget!G68</f>
        <v>Year 4</v>
      </c>
      <c r="I72" s="33" t="str">
        <f>Budget!H68</f>
        <v>Year 5</v>
      </c>
      <c r="J72" s="1"/>
      <c r="K72" s="1"/>
    </row>
    <row r="73" spans="2:11" x14ac:dyDescent="0.35">
      <c r="B73" s="25" t="str">
        <f>Budget!A69</f>
        <v>Nursery Bag</v>
      </c>
      <c r="C73" s="144">
        <f>Budget!B69</f>
        <v>7</v>
      </c>
      <c r="D73" s="140">
        <f>Budget!C69</f>
        <v>4</v>
      </c>
      <c r="E73" s="26">
        <f>Budget!D69</f>
        <v>175</v>
      </c>
      <c r="F73" s="26">
        <f>Budget!E69</f>
        <v>180</v>
      </c>
      <c r="G73" s="26">
        <f>Budget!F69</f>
        <v>185</v>
      </c>
      <c r="H73" s="26">
        <f>Budget!G69</f>
        <v>191</v>
      </c>
      <c r="I73" s="26">
        <f>Budget!H69</f>
        <v>197</v>
      </c>
      <c r="J73" s="1"/>
      <c r="K73" s="1"/>
    </row>
    <row r="74" spans="2:11" x14ac:dyDescent="0.35">
      <c r="B74" s="16" t="str">
        <f>Budget!A70</f>
        <v>Growout Bag</v>
      </c>
      <c r="C74" s="144">
        <f>Budget!B70</f>
        <v>6.2</v>
      </c>
      <c r="D74" s="141">
        <f>Budget!C70</f>
        <v>10</v>
      </c>
      <c r="E74" s="26">
        <f>Budget!D70</f>
        <v>404</v>
      </c>
      <c r="F74" s="26">
        <f>Budget!E70</f>
        <v>416</v>
      </c>
      <c r="G74" s="26">
        <f>Budget!F70</f>
        <v>428</v>
      </c>
      <c r="H74" s="26">
        <f>Budget!G70</f>
        <v>441</v>
      </c>
      <c r="I74" s="26">
        <f>Budget!H70</f>
        <v>454</v>
      </c>
      <c r="J74" s="1"/>
      <c r="K74" s="1"/>
    </row>
    <row r="75" spans="2:11" x14ac:dyDescent="0.35">
      <c r="B75" s="16" t="str">
        <f>Budget!A71</f>
        <v>Wet Suit</v>
      </c>
      <c r="C75" s="144">
        <f>Budget!B71</f>
        <v>250</v>
      </c>
      <c r="D75" s="141">
        <f>Budget!C71</f>
        <v>3</v>
      </c>
      <c r="E75" s="24">
        <f>Budget!D71</f>
        <v>83.333333333333329</v>
      </c>
      <c r="F75" s="24">
        <f>Budget!E71</f>
        <v>86</v>
      </c>
      <c r="G75" s="24">
        <f>Budget!F71</f>
        <v>89</v>
      </c>
      <c r="H75" s="24">
        <f>Budget!G71</f>
        <v>92</v>
      </c>
      <c r="I75" s="24">
        <f>Budget!H71</f>
        <v>95</v>
      </c>
      <c r="J75" s="1"/>
      <c r="K75" s="1"/>
    </row>
    <row r="76" spans="2:11" x14ac:dyDescent="0.35">
      <c r="B76" s="16" t="str">
        <f>Budget!A72</f>
        <v>Boat</v>
      </c>
      <c r="C76" s="144">
        <f>Budget!B72</f>
        <v>18000</v>
      </c>
      <c r="D76" s="141">
        <f>Budget!C72</f>
        <v>7</v>
      </c>
      <c r="E76" s="24">
        <f>Budget!D72</f>
        <v>0</v>
      </c>
      <c r="F76" s="24">
        <f>Budget!E72</f>
        <v>0</v>
      </c>
      <c r="G76" s="24">
        <f>Budget!F72</f>
        <v>0</v>
      </c>
      <c r="H76" s="24">
        <f>Budget!G72</f>
        <v>0</v>
      </c>
      <c r="I76" s="24">
        <f>Budget!H72</f>
        <v>0</v>
      </c>
      <c r="J76" s="1"/>
      <c r="K76" s="1"/>
    </row>
    <row r="77" spans="2:11" x14ac:dyDescent="0.35">
      <c r="B77" s="16" t="str">
        <f>Budget!A73</f>
        <v>Truck</v>
      </c>
      <c r="C77" s="144">
        <f>Budget!B73</f>
        <v>28000</v>
      </c>
      <c r="D77" s="141">
        <f>Budget!C73</f>
        <v>10</v>
      </c>
      <c r="E77" s="24">
        <f>Budget!D73</f>
        <v>0</v>
      </c>
      <c r="F77" s="24">
        <f>Budget!E73</f>
        <v>0</v>
      </c>
      <c r="G77" s="24">
        <f>Budget!F73</f>
        <v>0</v>
      </c>
      <c r="H77" s="24">
        <f>Budget!G73</f>
        <v>0</v>
      </c>
      <c r="I77" s="24">
        <f>Budget!H73</f>
        <v>0</v>
      </c>
      <c r="J77" s="1"/>
      <c r="K77" s="1"/>
    </row>
    <row r="78" spans="2:11" x14ac:dyDescent="0.35">
      <c r="B78" s="16" t="str">
        <f>Budget!A74</f>
        <v>Motor</v>
      </c>
      <c r="C78" s="144">
        <f>Budget!B74</f>
        <v>10000</v>
      </c>
      <c r="D78" s="141">
        <f>Budget!C74</f>
        <v>3</v>
      </c>
      <c r="E78" s="24">
        <f>Budget!D74</f>
        <v>0</v>
      </c>
      <c r="F78" s="24">
        <f>Budget!E74</f>
        <v>0</v>
      </c>
      <c r="G78" s="24">
        <f>Budget!F74</f>
        <v>0</v>
      </c>
      <c r="H78" s="24">
        <f>Budget!G74</f>
        <v>0</v>
      </c>
      <c r="I78" s="24">
        <f>Budget!H74</f>
        <v>0</v>
      </c>
      <c r="J78" s="1"/>
      <c r="K78" s="1"/>
    </row>
    <row r="79" spans="2:11" ht="44" thickBot="1" x14ac:dyDescent="0.4">
      <c r="B79" s="98" t="str">
        <f>Budget!A75</f>
        <v>Winch/Davit/Boom/Pulley/Batteries</v>
      </c>
      <c r="C79" s="129">
        <f>Budget!B75</f>
        <v>1000</v>
      </c>
      <c r="D79" s="142">
        <f>Budget!C75</f>
        <v>5</v>
      </c>
      <c r="E79" s="28">
        <f>Budget!D75</f>
        <v>200</v>
      </c>
      <c r="F79" s="28">
        <f>Budget!E75</f>
        <v>206</v>
      </c>
      <c r="G79" s="28">
        <f>Budget!F75</f>
        <v>212</v>
      </c>
      <c r="H79" s="28">
        <f>Budget!G75</f>
        <v>218</v>
      </c>
      <c r="I79" s="28">
        <f>Budget!H75</f>
        <v>225</v>
      </c>
      <c r="J79" s="1"/>
      <c r="K79" s="1"/>
    </row>
    <row r="80" spans="2:11" x14ac:dyDescent="0.35">
      <c r="B80" s="5" t="str">
        <f>Budget!A76</f>
        <v xml:space="preserve">Total Investment </v>
      </c>
      <c r="C80" s="6">
        <f>Budget!B76</f>
        <v>0</v>
      </c>
      <c r="D80" s="7">
        <f>Budget!C76</f>
        <v>0</v>
      </c>
      <c r="E80" s="15">
        <f>Budget!D76</f>
        <v>862.33333333333337</v>
      </c>
      <c r="F80" s="15">
        <f>Budget!E76</f>
        <v>888</v>
      </c>
      <c r="G80" s="15">
        <f>Budget!F76</f>
        <v>914</v>
      </c>
      <c r="H80" s="15">
        <f>Budget!G76</f>
        <v>942</v>
      </c>
      <c r="I80" s="15">
        <f>Budget!H76</f>
        <v>971</v>
      </c>
      <c r="J80" s="1"/>
      <c r="K80" s="1"/>
    </row>
    <row r="81" spans="2:11" x14ac:dyDescent="0.35">
      <c r="B81" s="7"/>
      <c r="C81" s="7"/>
      <c r="D81" s="7"/>
      <c r="E81" s="40"/>
      <c r="F81" s="40"/>
      <c r="G81" s="40"/>
      <c r="H81" s="40"/>
      <c r="I81" s="40"/>
      <c r="J81" s="1"/>
      <c r="K81" s="1"/>
    </row>
    <row r="82" spans="2:11" x14ac:dyDescent="0.35">
      <c r="B82" s="1"/>
      <c r="C82" s="1"/>
      <c r="D82" s="1"/>
      <c r="E82" s="4"/>
      <c r="F82" s="1"/>
      <c r="G82" s="1"/>
      <c r="H82" s="1"/>
      <c r="I82" s="1"/>
      <c r="J82" s="1"/>
      <c r="K82" s="1"/>
    </row>
    <row r="83" spans="2:11" ht="18.5" x14ac:dyDescent="0.45">
      <c r="B83" s="236" t="s">
        <v>75</v>
      </c>
      <c r="C83" s="236"/>
      <c r="D83" s="236"/>
      <c r="E83" s="236"/>
      <c r="F83" s="236"/>
      <c r="G83" s="236"/>
      <c r="H83" s="143"/>
      <c r="I83" s="143"/>
      <c r="J83" s="1"/>
      <c r="K83" s="1"/>
    </row>
    <row r="84" spans="2:11" ht="16" thickBot="1" x14ac:dyDescent="0.4">
      <c r="B84" s="33" t="s">
        <v>29</v>
      </c>
      <c r="C84" s="33"/>
      <c r="D84" s="34" t="s">
        <v>30</v>
      </c>
      <c r="E84" s="33" t="s">
        <v>31</v>
      </c>
      <c r="F84" s="33" t="s">
        <v>32</v>
      </c>
      <c r="G84" s="1"/>
      <c r="H84" s="1"/>
      <c r="I84" s="1"/>
      <c r="J84" s="1"/>
      <c r="K84" s="1"/>
    </row>
    <row r="85" spans="2:11" x14ac:dyDescent="0.35">
      <c r="B85" s="31" t="s">
        <v>33</v>
      </c>
      <c r="C85" s="31"/>
      <c r="D85" s="6"/>
      <c r="E85" s="7"/>
      <c r="F85" s="7"/>
      <c r="G85" s="1"/>
      <c r="H85" s="1"/>
      <c r="I85" s="1"/>
      <c r="J85" s="1"/>
      <c r="K85" s="1"/>
    </row>
    <row r="86" spans="2:11" x14ac:dyDescent="0.35">
      <c r="B86" s="7" t="s">
        <v>34</v>
      </c>
      <c r="C86" s="7"/>
      <c r="D86" s="50">
        <f>F13*D90</f>
        <v>540000.00000000012</v>
      </c>
      <c r="E86" s="51">
        <f>I7</f>
        <v>7.0000000000000007E-2</v>
      </c>
      <c r="F86" s="11">
        <f>E86*D86</f>
        <v>37800.000000000015</v>
      </c>
      <c r="G86" s="1"/>
      <c r="H86" s="1"/>
      <c r="I86" s="1"/>
      <c r="J86" s="1"/>
      <c r="K86" s="1"/>
    </row>
    <row r="87" spans="2:11" x14ac:dyDescent="0.35">
      <c r="B87" s="7" t="s">
        <v>35</v>
      </c>
      <c r="C87" s="7"/>
      <c r="D87" s="50">
        <f>F14*D90</f>
        <v>60000.000000000015</v>
      </c>
      <c r="E87" s="51">
        <f>I8</f>
        <v>0.05</v>
      </c>
      <c r="F87" s="11">
        <f>E87*D87</f>
        <v>3000.0000000000009</v>
      </c>
      <c r="G87" s="1"/>
      <c r="H87" s="1"/>
      <c r="I87" s="1"/>
      <c r="J87" s="1"/>
      <c r="K87" s="1"/>
    </row>
    <row r="88" spans="2:11" x14ac:dyDescent="0.35">
      <c r="B88" s="7" t="s">
        <v>36</v>
      </c>
      <c r="C88" s="7"/>
      <c r="D88" s="50">
        <f>F15*D90</f>
        <v>0</v>
      </c>
      <c r="E88" s="52">
        <f>I9</f>
        <v>3.5000000000000003E-2</v>
      </c>
      <c r="F88" s="13">
        <f>E88*D88</f>
        <v>0</v>
      </c>
      <c r="G88" s="1"/>
      <c r="H88" s="1"/>
      <c r="I88" s="1"/>
      <c r="J88" s="1"/>
      <c r="K88" s="1"/>
    </row>
    <row r="89" spans="2:11" x14ac:dyDescent="0.35">
      <c r="B89" s="261"/>
      <c r="C89" s="261"/>
      <c r="D89" s="261"/>
      <c r="E89" s="261"/>
      <c r="F89" s="261"/>
      <c r="G89" s="261"/>
      <c r="H89" s="1"/>
      <c r="I89" s="1"/>
      <c r="J89" s="1"/>
      <c r="K89" s="1"/>
    </row>
    <row r="90" spans="2:11" x14ac:dyDescent="0.35">
      <c r="B90" s="5" t="s">
        <v>79</v>
      </c>
      <c r="C90" s="5"/>
      <c r="D90" s="50">
        <f>D93*F11</f>
        <v>600000.00000000012</v>
      </c>
      <c r="E90" s="51"/>
      <c r="F90" s="53">
        <f>SUM(F86:F88)</f>
        <v>40800.000000000015</v>
      </c>
      <c r="G90" s="1"/>
      <c r="H90" s="1"/>
      <c r="I90" s="1"/>
      <c r="J90" s="1"/>
      <c r="K90" s="1"/>
    </row>
    <row r="91" spans="2:11" x14ac:dyDescent="0.35">
      <c r="B91" s="261"/>
      <c r="C91" s="261"/>
      <c r="D91" s="261"/>
      <c r="E91" s="261"/>
      <c r="F91" s="261"/>
      <c r="G91" s="261"/>
      <c r="H91" s="1"/>
      <c r="I91" s="1"/>
      <c r="J91" s="1"/>
      <c r="K91" s="1"/>
    </row>
    <row r="92" spans="2:11" x14ac:dyDescent="0.35">
      <c r="B92" s="31" t="s">
        <v>14</v>
      </c>
      <c r="C92" s="31"/>
      <c r="D92" s="31"/>
      <c r="E92" s="50"/>
      <c r="F92" s="51"/>
      <c r="G92" s="11"/>
      <c r="H92" s="1"/>
      <c r="I92" s="1"/>
      <c r="J92" s="1"/>
      <c r="K92" s="1"/>
    </row>
    <row r="93" spans="2:11" x14ac:dyDescent="0.35">
      <c r="B93" s="7" t="s">
        <v>82</v>
      </c>
      <c r="C93" s="7"/>
      <c r="D93" s="50">
        <f>F5</f>
        <v>1000000</v>
      </c>
      <c r="E93" s="52">
        <f>I5</f>
        <v>6.0000000000000001E-3</v>
      </c>
      <c r="F93" s="11">
        <f>E93*D93</f>
        <v>6000</v>
      </c>
      <c r="G93" s="1"/>
      <c r="H93" s="1"/>
      <c r="I93" s="1"/>
      <c r="J93" s="1"/>
      <c r="K93" s="1"/>
    </row>
    <row r="94" spans="2:11" x14ac:dyDescent="0.35">
      <c r="B94" s="7" t="s">
        <v>83</v>
      </c>
      <c r="C94" s="7"/>
      <c r="D94" s="50">
        <f>F18+F17</f>
        <v>752</v>
      </c>
      <c r="E94" s="11">
        <f>D41</f>
        <v>2</v>
      </c>
      <c r="F94" s="11">
        <f>E94*D94</f>
        <v>1504</v>
      </c>
      <c r="G94" s="1"/>
      <c r="H94" s="1"/>
      <c r="I94" s="1"/>
      <c r="J94" s="1"/>
      <c r="K94" s="1"/>
    </row>
    <row r="95" spans="2:11" x14ac:dyDescent="0.35">
      <c r="B95" s="7" t="s">
        <v>84</v>
      </c>
      <c r="C95" s="7"/>
      <c r="D95" s="50">
        <f>C42</f>
        <v>205</v>
      </c>
      <c r="E95" s="51">
        <f>D42</f>
        <v>3.5</v>
      </c>
      <c r="F95" s="11">
        <f>ROUND(E95*D95,0)</f>
        <v>718</v>
      </c>
      <c r="G95" s="1"/>
      <c r="H95" s="1"/>
      <c r="I95" s="1"/>
      <c r="J95" s="1"/>
      <c r="K95" s="1"/>
    </row>
    <row r="96" spans="2:11" x14ac:dyDescent="0.35">
      <c r="B96" s="7" t="s">
        <v>85</v>
      </c>
      <c r="C96" s="7"/>
      <c r="D96" s="50">
        <f>C43</f>
        <v>205</v>
      </c>
      <c r="E96" s="51">
        <f>D43</f>
        <v>3.5</v>
      </c>
      <c r="F96" s="11">
        <f>ROUND(E96*D96,0)</f>
        <v>718</v>
      </c>
      <c r="G96" s="1"/>
      <c r="H96" s="1"/>
      <c r="I96" s="1"/>
      <c r="J96" s="1"/>
      <c r="K96" s="1"/>
    </row>
    <row r="97" spans="2:11" x14ac:dyDescent="0.35">
      <c r="B97" s="7" t="s">
        <v>109</v>
      </c>
      <c r="C97" s="7"/>
      <c r="D97" s="50"/>
      <c r="E97" s="4"/>
      <c r="F97" s="11">
        <f>D45</f>
        <v>2800</v>
      </c>
      <c r="G97" s="1"/>
      <c r="H97" s="1"/>
      <c r="I97" s="1"/>
      <c r="J97" s="1"/>
      <c r="K97" s="1"/>
    </row>
    <row r="98" spans="2:11" x14ac:dyDescent="0.35">
      <c r="B98" s="7" t="s">
        <v>86</v>
      </c>
      <c r="C98" s="7"/>
      <c r="D98" s="50">
        <f>C46</f>
        <v>662</v>
      </c>
      <c r="E98" s="51">
        <f>D46</f>
        <v>1.25</v>
      </c>
      <c r="F98" s="11">
        <f>ROUND(E98*D98,0)</f>
        <v>828</v>
      </c>
      <c r="G98" s="1"/>
      <c r="H98" s="1"/>
      <c r="I98" s="1"/>
      <c r="J98" s="1"/>
      <c r="K98" s="1"/>
    </row>
    <row r="99" spans="2:11" x14ac:dyDescent="0.35">
      <c r="B99" s="7" t="s">
        <v>87</v>
      </c>
      <c r="C99" s="7"/>
      <c r="D99" s="50">
        <f>C44</f>
        <v>1</v>
      </c>
      <c r="E99" s="11">
        <f>D44</f>
        <v>100</v>
      </c>
      <c r="F99" s="11">
        <f>D99*E99</f>
        <v>100</v>
      </c>
      <c r="G99" s="1"/>
      <c r="H99" s="1"/>
      <c r="I99" s="1"/>
      <c r="J99" s="1"/>
      <c r="K99" s="1"/>
    </row>
    <row r="100" spans="2:11" x14ac:dyDescent="0.35">
      <c r="B100" s="7" t="s">
        <v>105</v>
      </c>
      <c r="C100" s="7"/>
      <c r="D100" s="50"/>
      <c r="E100" s="11"/>
      <c r="F100" s="11">
        <f>D47</f>
        <v>4400</v>
      </c>
      <c r="G100" s="1"/>
      <c r="H100" s="1"/>
      <c r="I100" s="1"/>
      <c r="J100" s="1"/>
      <c r="K100" s="1"/>
    </row>
    <row r="101" spans="2:11" x14ac:dyDescent="0.35">
      <c r="B101" s="7" t="s">
        <v>80</v>
      </c>
      <c r="C101" s="7"/>
      <c r="D101" s="50"/>
      <c r="E101" s="51"/>
      <c r="F101" s="13">
        <f>D48</f>
        <v>250</v>
      </c>
      <c r="G101" s="1"/>
      <c r="H101" s="1"/>
      <c r="I101" s="1"/>
      <c r="J101" s="1"/>
      <c r="K101" s="1"/>
    </row>
    <row r="102" spans="2:11" x14ac:dyDescent="0.35">
      <c r="B102" s="5" t="s">
        <v>37</v>
      </c>
      <c r="C102" s="5"/>
      <c r="D102" s="5"/>
      <c r="E102" s="50"/>
      <c r="F102" s="11">
        <f>SUM(F93:F101)</f>
        <v>17318</v>
      </c>
      <c r="G102" s="53"/>
      <c r="H102" s="1"/>
      <c r="I102" s="1"/>
      <c r="J102" s="1"/>
      <c r="K102" s="1"/>
    </row>
    <row r="103" spans="2:11" x14ac:dyDescent="0.35">
      <c r="B103" s="261"/>
      <c r="C103" s="261"/>
      <c r="D103" s="261"/>
      <c r="E103" s="261"/>
      <c r="F103" s="261"/>
      <c r="G103" s="261"/>
      <c r="H103" s="1"/>
      <c r="I103" s="1"/>
      <c r="J103" s="1"/>
      <c r="K103" s="1"/>
    </row>
    <row r="104" spans="2:11" x14ac:dyDescent="0.35">
      <c r="B104" s="31" t="s">
        <v>38</v>
      </c>
      <c r="C104" s="31"/>
      <c r="D104" s="31"/>
      <c r="E104" s="50"/>
      <c r="F104" s="51"/>
      <c r="G104" s="11"/>
      <c r="H104" s="1"/>
      <c r="I104" s="1"/>
      <c r="J104" s="1"/>
      <c r="K104" s="1"/>
    </row>
    <row r="105" spans="2:11" x14ac:dyDescent="0.35">
      <c r="B105" s="123" t="s">
        <v>19</v>
      </c>
      <c r="C105" s="7"/>
      <c r="D105" s="7"/>
      <c r="E105" s="6"/>
      <c r="F105" s="7"/>
      <c r="G105" s="7"/>
      <c r="H105" s="1"/>
      <c r="I105" s="1"/>
      <c r="J105" s="1"/>
      <c r="K105" s="1"/>
    </row>
    <row r="106" spans="2:11" x14ac:dyDescent="0.35">
      <c r="B106" s="7" t="s">
        <v>114</v>
      </c>
      <c r="C106" s="7"/>
      <c r="D106" s="50">
        <f t="shared" ref="D106:E110" si="2">C50</f>
        <v>1</v>
      </c>
      <c r="E106" s="11">
        <f t="shared" si="2"/>
        <v>750</v>
      </c>
      <c r="F106" s="11">
        <f>E106*D106</f>
        <v>750</v>
      </c>
      <c r="G106" s="1"/>
      <c r="H106" s="1"/>
      <c r="I106" s="1"/>
      <c r="J106" s="1"/>
      <c r="K106" s="1"/>
    </row>
    <row r="107" spans="2:11" x14ac:dyDescent="0.35">
      <c r="B107" s="7" t="s">
        <v>115</v>
      </c>
      <c r="C107" s="7"/>
      <c r="D107" s="50">
        <f t="shared" si="2"/>
        <v>1</v>
      </c>
      <c r="E107" s="11">
        <f t="shared" si="2"/>
        <v>250</v>
      </c>
      <c r="F107" s="11">
        <f>D107*E107</f>
        <v>250</v>
      </c>
      <c r="G107" s="1"/>
      <c r="H107" s="1"/>
      <c r="I107" s="1"/>
      <c r="J107" s="1"/>
      <c r="K107" s="1"/>
    </row>
    <row r="108" spans="2:11" x14ac:dyDescent="0.35">
      <c r="B108" s="7" t="s">
        <v>81</v>
      </c>
      <c r="C108" s="7"/>
      <c r="D108" s="50">
        <f t="shared" si="2"/>
        <v>1</v>
      </c>
      <c r="E108" s="11">
        <f t="shared" si="2"/>
        <v>500</v>
      </c>
      <c r="F108" s="11">
        <f>E108*D108</f>
        <v>500</v>
      </c>
      <c r="G108" s="1"/>
      <c r="H108" s="1"/>
      <c r="I108" s="1"/>
      <c r="J108" s="1"/>
      <c r="K108" s="1"/>
    </row>
    <row r="109" spans="2:11" x14ac:dyDescent="0.35">
      <c r="B109" s="7" t="s">
        <v>112</v>
      </c>
      <c r="C109" s="7"/>
      <c r="D109" s="50">
        <f t="shared" si="2"/>
        <v>1</v>
      </c>
      <c r="E109" s="11">
        <f t="shared" si="2"/>
        <v>27</v>
      </c>
      <c r="F109" s="11">
        <f>D109*E109</f>
        <v>27</v>
      </c>
      <c r="G109" s="1"/>
      <c r="H109" s="1"/>
      <c r="I109" s="1"/>
      <c r="J109" s="1"/>
      <c r="K109" s="1"/>
    </row>
    <row r="110" spans="2:11" x14ac:dyDescent="0.35">
      <c r="B110" s="7" t="s">
        <v>113</v>
      </c>
      <c r="C110" s="7"/>
      <c r="D110" s="50">
        <f t="shared" si="2"/>
        <v>1</v>
      </c>
      <c r="E110" s="11">
        <f t="shared" si="2"/>
        <v>100</v>
      </c>
      <c r="F110" s="11">
        <f>E110*D110</f>
        <v>100</v>
      </c>
      <c r="G110" s="1"/>
      <c r="H110" s="1"/>
      <c r="I110" s="1"/>
      <c r="J110" s="1"/>
      <c r="K110" s="1"/>
    </row>
    <row r="111" spans="2:11" x14ac:dyDescent="0.35">
      <c r="B111" s="261"/>
      <c r="C111" s="261"/>
      <c r="D111" s="261"/>
      <c r="E111" s="261"/>
      <c r="F111" s="261"/>
      <c r="G111" s="261"/>
      <c r="H111" s="1"/>
      <c r="I111" s="1"/>
      <c r="J111" s="1"/>
      <c r="K111" s="1"/>
    </row>
    <row r="112" spans="2:11" x14ac:dyDescent="0.35">
      <c r="B112" s="7" t="s">
        <v>39</v>
      </c>
      <c r="C112" s="7"/>
      <c r="D112" s="7"/>
      <c r="E112" s="6"/>
      <c r="F112" s="11">
        <f>ROUND(AVERAGE(G29:K29),0)</f>
        <v>918</v>
      </c>
      <c r="G112" s="1"/>
      <c r="H112" s="1"/>
      <c r="I112" s="1"/>
      <c r="J112" s="1"/>
      <c r="K112" s="1"/>
    </row>
    <row r="113" spans="2:11" x14ac:dyDescent="0.35">
      <c r="B113" s="7" t="s">
        <v>40</v>
      </c>
      <c r="C113" s="7"/>
      <c r="D113" s="7"/>
      <c r="E113" s="6"/>
      <c r="F113" s="13">
        <f>AVERAGE(E80:I80)</f>
        <v>915.46666666666681</v>
      </c>
      <c r="G113" s="1"/>
      <c r="H113" s="1"/>
      <c r="I113" s="1"/>
      <c r="J113" s="1"/>
      <c r="K113" s="1"/>
    </row>
    <row r="114" spans="2:11" x14ac:dyDescent="0.35">
      <c r="B114" s="5" t="s">
        <v>41</v>
      </c>
      <c r="C114" s="5"/>
      <c r="D114" s="5"/>
      <c r="E114" s="6"/>
      <c r="F114" s="53">
        <f>SUM(F106:F113)</f>
        <v>3460.4666666666667</v>
      </c>
      <c r="G114" s="1"/>
      <c r="H114" s="1"/>
      <c r="I114" s="1"/>
      <c r="J114" s="1"/>
      <c r="K114" s="1"/>
    </row>
    <row r="115" spans="2:11" x14ac:dyDescent="0.35">
      <c r="B115" s="5"/>
      <c r="C115" s="5"/>
      <c r="D115" s="5"/>
      <c r="E115" s="6"/>
      <c r="F115" s="53"/>
      <c r="G115" s="1"/>
      <c r="H115" s="1"/>
      <c r="I115" s="1"/>
      <c r="J115" s="1"/>
      <c r="K115" s="1"/>
    </row>
    <row r="116" spans="2:11" x14ac:dyDescent="0.35">
      <c r="B116" s="31" t="s">
        <v>90</v>
      </c>
      <c r="C116" s="31"/>
      <c r="D116" s="31"/>
      <c r="E116" s="6"/>
      <c r="F116" s="53">
        <f>F114+F102</f>
        <v>20778.466666666667</v>
      </c>
      <c r="G116" s="1"/>
      <c r="H116" s="1"/>
      <c r="I116" s="1"/>
      <c r="J116" s="1"/>
      <c r="K116" s="1"/>
    </row>
    <row r="117" spans="2:11" x14ac:dyDescent="0.35">
      <c r="B117" s="31"/>
      <c r="C117" s="31"/>
      <c r="D117" s="31"/>
      <c r="E117" s="6"/>
      <c r="F117" s="11"/>
      <c r="G117" s="1"/>
      <c r="H117" s="1"/>
      <c r="I117" s="1"/>
      <c r="J117" s="1"/>
      <c r="K117" s="1"/>
    </row>
    <row r="118" spans="2:11" x14ac:dyDescent="0.35">
      <c r="B118" s="31" t="s">
        <v>122</v>
      </c>
      <c r="C118" s="31"/>
      <c r="D118" s="31"/>
      <c r="E118" s="6"/>
      <c r="F118" s="11"/>
      <c r="G118" s="1"/>
      <c r="H118" s="1"/>
      <c r="I118" s="1"/>
      <c r="J118" s="1"/>
      <c r="K118" s="1"/>
    </row>
    <row r="119" spans="2:11" x14ac:dyDescent="0.35">
      <c r="B119" s="123" t="s">
        <v>123</v>
      </c>
      <c r="C119" s="31"/>
      <c r="D119" s="31"/>
      <c r="E119" s="6"/>
      <c r="F119" s="11"/>
      <c r="G119" s="1"/>
      <c r="H119" s="1"/>
      <c r="I119" s="1"/>
      <c r="J119" s="1"/>
      <c r="K119" s="1"/>
    </row>
    <row r="120" spans="2:11" x14ac:dyDescent="0.35">
      <c r="B120" s="5" t="s">
        <v>119</v>
      </c>
      <c r="C120" s="31"/>
      <c r="D120" s="31"/>
      <c r="E120" s="6"/>
      <c r="F120" s="11">
        <f>F90-(F116-F113)</f>
        <v>20937.000000000015</v>
      </c>
      <c r="G120" s="1"/>
      <c r="H120" s="1"/>
      <c r="I120" s="1"/>
      <c r="J120" s="1"/>
      <c r="K120" s="1"/>
    </row>
    <row r="121" spans="2:11" x14ac:dyDescent="0.35">
      <c r="B121" s="5" t="s">
        <v>120</v>
      </c>
      <c r="C121" s="31"/>
      <c r="D121" s="31"/>
      <c r="E121" s="6"/>
      <c r="F121" s="157">
        <f>(F116-F113)/D90</f>
        <v>3.3104999999999996E-2</v>
      </c>
      <c r="G121" s="1"/>
      <c r="H121" s="1"/>
      <c r="I121" s="1"/>
      <c r="J121" s="1"/>
      <c r="K121" s="1"/>
    </row>
    <row r="122" spans="2:11" x14ac:dyDescent="0.35">
      <c r="B122" s="5" t="s">
        <v>121</v>
      </c>
      <c r="C122" s="31"/>
      <c r="D122" s="31"/>
      <c r="E122" s="6"/>
      <c r="F122" s="55">
        <f>((F116-F113)/(E86*(D86/D90)+E87*(D87/D90)+E88*(D88/D90)))/D93</f>
        <v>0.29210294117647051</v>
      </c>
      <c r="G122" s="1"/>
      <c r="H122" s="1"/>
      <c r="I122" s="1"/>
      <c r="J122" s="1"/>
      <c r="K122" s="1"/>
    </row>
    <row r="123" spans="2:11" x14ac:dyDescent="0.35">
      <c r="B123" s="5"/>
      <c r="C123" s="31"/>
      <c r="D123" s="31"/>
      <c r="E123" s="6"/>
      <c r="F123" s="55"/>
      <c r="G123" s="1"/>
      <c r="H123" s="1"/>
      <c r="I123" s="1"/>
      <c r="J123" s="1"/>
      <c r="K123" s="1"/>
    </row>
    <row r="124" spans="2:11" x14ac:dyDescent="0.35">
      <c r="B124" s="158" t="s">
        <v>90</v>
      </c>
      <c r="C124" s="156"/>
      <c r="D124" s="156"/>
      <c r="E124" s="156"/>
      <c r="F124" s="156"/>
      <c r="G124" s="156"/>
      <c r="H124" s="1"/>
      <c r="I124" s="1"/>
      <c r="J124" s="1"/>
      <c r="K124" s="1"/>
    </row>
    <row r="125" spans="2:11" x14ac:dyDescent="0.35">
      <c r="B125" s="5" t="s">
        <v>42</v>
      </c>
      <c r="C125" s="5"/>
      <c r="D125" s="5"/>
      <c r="E125" s="6"/>
      <c r="F125" s="11">
        <f>F90-F116</f>
        <v>20021.533333333347</v>
      </c>
      <c r="G125" s="1"/>
      <c r="H125" s="1"/>
      <c r="I125" s="1"/>
      <c r="J125" s="1"/>
      <c r="K125" s="1"/>
    </row>
    <row r="126" spans="2:11" x14ac:dyDescent="0.35">
      <c r="B126" s="5" t="s">
        <v>43</v>
      </c>
      <c r="C126" s="5"/>
      <c r="D126" s="5"/>
      <c r="E126" s="6"/>
      <c r="F126" s="54">
        <f>F116/D90</f>
        <v>3.4630777777777774E-2</v>
      </c>
      <c r="G126" s="1"/>
      <c r="H126" s="1"/>
      <c r="I126" s="1"/>
      <c r="J126" s="1"/>
      <c r="K126" s="1"/>
    </row>
    <row r="127" spans="2:11" x14ac:dyDescent="0.35">
      <c r="B127" s="5" t="s">
        <v>44</v>
      </c>
      <c r="C127" s="5"/>
      <c r="D127" s="5"/>
      <c r="E127" s="6"/>
      <c r="F127" s="55">
        <f>(F116/(E86*(D86/D90)+E87*(D87/D90)+E88*(D88/D90)))/D93</f>
        <v>0.3055656862745097</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 allowBlank="1" showInputMessage="1" showErrorMessage="1" sqref="I7:I9 I5 F6:F7 F9:F11 F13:F14">
      <formula1>0</formula1>
    </dataValidation>
    <dataValidation type="whole" operator="greaterThan" allowBlank="1" showInputMessage="1" showErrorMessage="1" sqref="C22:C28 D24:D28 E24 F53:I54 E50:E54 F5 E40:E41 F47:I47 E43:E48 D75:D79 C73:C79">
      <formula1>0</formula1>
    </dataValidation>
    <dataValidation type="whole" allowBlank="1" showInputMessage="1" showErrorMessage="1" sqref="E25:E28">
      <formula1>0</formula1>
      <formula2>1</formula2>
    </dataValidation>
    <dataValidation type="decimal" operator="greaterThanOrEqual" allowBlank="1" showInputMessage="1" showErrorMessage="1" sqref="F15">
      <formula1>0</formula1>
    </dataValidation>
  </dataValidations>
  <pageMargins left="0.75" right="0.75" top="1" bottom="1" header="0.5" footer="0.5"/>
  <pageSetup orientation="portrait" horizontalDpi="4294967292" verticalDpi="429496729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27"/>
  <sheetViews>
    <sheetView workbookViewId="0">
      <selection activeCell="N21" sqref="N21"/>
    </sheetView>
  </sheetViews>
  <sheetFormatPr defaultColWidth="11" defaultRowHeight="15.5" x14ac:dyDescent="0.35"/>
  <sheetData>
    <row r="3" spans="2:11" ht="16" thickBot="1" x14ac:dyDescent="0.4">
      <c r="B3" s="1"/>
      <c r="C3" s="1"/>
      <c r="D3" s="1"/>
      <c r="E3" s="66"/>
      <c r="F3" s="37"/>
      <c r="G3" s="7"/>
      <c r="H3" s="1"/>
      <c r="I3" s="1"/>
      <c r="J3" s="1"/>
      <c r="K3" s="1"/>
    </row>
    <row r="4" spans="2:11" x14ac:dyDescent="0.35">
      <c r="B4" s="1"/>
      <c r="C4" s="1"/>
      <c r="D4" s="18" t="s">
        <v>51</v>
      </c>
      <c r="E4" s="117"/>
      <c r="F4" s="19" t="s">
        <v>50</v>
      </c>
      <c r="G4" s="1"/>
      <c r="H4" s="18" t="s">
        <v>53</v>
      </c>
      <c r="I4" s="19" t="s">
        <v>54</v>
      </c>
      <c r="J4" s="1"/>
      <c r="K4" s="1"/>
    </row>
    <row r="5" spans="2:11" x14ac:dyDescent="0.35">
      <c r="B5" s="1"/>
      <c r="C5" s="1"/>
      <c r="D5" s="239" t="s">
        <v>73</v>
      </c>
      <c r="E5" s="240"/>
      <c r="F5" s="56">
        <f>Budget!E5</f>
        <v>1000000</v>
      </c>
      <c r="G5" s="1"/>
      <c r="H5" s="22" t="s">
        <v>46</v>
      </c>
      <c r="I5" s="62">
        <f>Budget!H5</f>
        <v>6.0000000000000001E-3</v>
      </c>
      <c r="J5" s="1"/>
      <c r="K5" s="1"/>
    </row>
    <row r="6" spans="2:11" x14ac:dyDescent="0.35">
      <c r="B6" s="1"/>
      <c r="C6" s="1"/>
      <c r="D6" s="247" t="s">
        <v>60</v>
      </c>
      <c r="E6" s="248"/>
      <c r="F6" s="57">
        <f>Budget!E6</f>
        <v>10000</v>
      </c>
      <c r="G6" s="1"/>
      <c r="H6" s="43" t="s">
        <v>47</v>
      </c>
      <c r="I6" s="21">
        <f>Budget!H6</f>
        <v>0</v>
      </c>
      <c r="J6" s="1"/>
      <c r="K6" s="1"/>
    </row>
    <row r="7" spans="2:11" x14ac:dyDescent="0.35">
      <c r="B7" s="1"/>
      <c r="C7" s="1"/>
      <c r="D7" s="239" t="s">
        <v>55</v>
      </c>
      <c r="E7" s="240"/>
      <c r="F7" s="82">
        <f>Budget!E7</f>
        <v>1150</v>
      </c>
      <c r="G7" s="1"/>
      <c r="H7" s="20" t="s">
        <v>67</v>
      </c>
      <c r="I7" s="45">
        <f>'Cash Cost Sensitivities (2)'!A17</f>
        <v>0.13</v>
      </c>
      <c r="J7" s="1"/>
      <c r="K7" s="1"/>
    </row>
    <row r="8" spans="2:11" x14ac:dyDescent="0.35">
      <c r="B8" s="1"/>
      <c r="C8" s="1"/>
      <c r="D8" s="239" t="s">
        <v>56</v>
      </c>
      <c r="E8" s="240"/>
      <c r="F8" s="59"/>
      <c r="G8" s="1"/>
      <c r="H8" s="20" t="s">
        <v>62</v>
      </c>
      <c r="I8" s="45">
        <f>'Cash Cost Sensitivities (2)'!B17</f>
        <v>0.11</v>
      </c>
      <c r="J8" s="1"/>
      <c r="K8" s="1"/>
    </row>
    <row r="9" spans="2:11" ht="16" thickBot="1" x14ac:dyDescent="0.4">
      <c r="B9" s="1"/>
      <c r="C9" s="1"/>
      <c r="D9" s="237" t="s">
        <v>57</v>
      </c>
      <c r="E9" s="238"/>
      <c r="F9" s="60">
        <f>Budget!E9</f>
        <v>0.75</v>
      </c>
      <c r="G9" s="1"/>
      <c r="H9" s="44" t="s">
        <v>63</v>
      </c>
      <c r="I9" s="46">
        <f>'Cash Cost Sensitivities (2)'!C17</f>
        <v>6.5000000000000002E-2</v>
      </c>
      <c r="J9" s="1"/>
      <c r="K9" s="1"/>
    </row>
    <row r="10" spans="2:11" x14ac:dyDescent="0.35">
      <c r="B10" s="1"/>
      <c r="C10" s="1"/>
      <c r="D10" s="237" t="s">
        <v>58</v>
      </c>
      <c r="E10" s="238"/>
      <c r="F10" s="60">
        <f>Budget!E10</f>
        <v>0.8</v>
      </c>
      <c r="G10" s="1"/>
      <c r="H10" s="17"/>
      <c r="I10" s="1"/>
      <c r="J10" s="1"/>
      <c r="K10" s="1"/>
    </row>
    <row r="11" spans="2:11" x14ac:dyDescent="0.35">
      <c r="B11" s="1"/>
      <c r="C11" s="1"/>
      <c r="D11" s="237" t="s">
        <v>59</v>
      </c>
      <c r="E11" s="238"/>
      <c r="F11" s="132">
        <f>F9*F10</f>
        <v>0.60000000000000009</v>
      </c>
      <c r="G11" s="1"/>
      <c r="H11" s="138"/>
      <c r="I11" s="139"/>
      <c r="J11" s="1"/>
      <c r="K11" s="1"/>
    </row>
    <row r="12" spans="2:11" x14ac:dyDescent="0.35">
      <c r="B12" s="1"/>
      <c r="C12" s="1"/>
      <c r="D12" s="239" t="s">
        <v>52</v>
      </c>
      <c r="E12" s="240"/>
      <c r="F12" s="241"/>
      <c r="G12" s="1"/>
      <c r="H12" s="1"/>
      <c r="I12" s="1"/>
      <c r="J12" s="1"/>
      <c r="K12" s="1"/>
    </row>
    <row r="13" spans="2:11" x14ac:dyDescent="0.35">
      <c r="B13" s="1"/>
      <c r="C13" s="1"/>
      <c r="D13" s="237" t="s">
        <v>61</v>
      </c>
      <c r="E13" s="238"/>
      <c r="F13" s="60">
        <f>Budget!E13</f>
        <v>0.7</v>
      </c>
      <c r="G13" s="1"/>
      <c r="H13" s="1"/>
      <c r="I13" s="1"/>
      <c r="J13" s="1"/>
      <c r="K13" s="1"/>
    </row>
    <row r="14" spans="2:11" x14ac:dyDescent="0.35">
      <c r="B14" s="1"/>
      <c r="C14" s="1"/>
      <c r="D14" s="237" t="s">
        <v>62</v>
      </c>
      <c r="E14" s="238"/>
      <c r="F14" s="60">
        <f>Budget!E14</f>
        <v>0.2</v>
      </c>
      <c r="G14" s="1"/>
      <c r="H14" s="1"/>
      <c r="I14" s="1"/>
      <c r="J14" s="1"/>
      <c r="K14" s="1"/>
    </row>
    <row r="15" spans="2:11" x14ac:dyDescent="0.35">
      <c r="B15" s="1"/>
      <c r="C15" s="1"/>
      <c r="D15" s="237" t="s">
        <v>63</v>
      </c>
      <c r="E15" s="238"/>
      <c r="F15" s="105">
        <f>Budget!E15</f>
        <v>0.1</v>
      </c>
      <c r="G15" s="1"/>
      <c r="H15" s="1"/>
      <c r="I15" s="1"/>
      <c r="J15" s="1"/>
      <c r="K15" s="1"/>
    </row>
    <row r="16" spans="2:11" x14ac:dyDescent="0.35">
      <c r="B16" s="7"/>
      <c r="C16" s="7"/>
      <c r="D16" s="242" t="s">
        <v>103</v>
      </c>
      <c r="E16" s="243"/>
      <c r="F16" s="103"/>
      <c r="G16" s="1"/>
      <c r="H16" s="1"/>
      <c r="I16" s="1"/>
      <c r="J16" s="1"/>
      <c r="K16" s="1"/>
    </row>
    <row r="17" spans="2:11" x14ac:dyDescent="0.35">
      <c r="B17" s="1"/>
      <c r="C17" s="1"/>
      <c r="D17" s="250" t="s">
        <v>57</v>
      </c>
      <c r="E17" s="251"/>
      <c r="F17" s="106">
        <f>ROUND(F5/F6,0)</f>
        <v>100</v>
      </c>
      <c r="G17" s="1"/>
      <c r="H17" s="1"/>
      <c r="I17" s="1"/>
      <c r="J17" s="1"/>
      <c r="K17" s="1"/>
    </row>
    <row r="18" spans="2:11" ht="16" thickBot="1" x14ac:dyDescent="0.4">
      <c r="B18" s="2"/>
      <c r="C18" s="2"/>
      <c r="D18" s="252" t="s">
        <v>102</v>
      </c>
      <c r="E18" s="253"/>
      <c r="F18" s="104">
        <f>ROUND(F5*F9/F7,0)</f>
        <v>652</v>
      </c>
      <c r="G18" s="1"/>
      <c r="H18" s="1"/>
      <c r="I18" s="1"/>
      <c r="J18" s="1"/>
      <c r="K18" s="1"/>
    </row>
    <row r="19" spans="2:11" x14ac:dyDescent="0.35">
      <c r="B19" s="2"/>
      <c r="C19" s="2"/>
      <c r="D19" s="2"/>
      <c r="E19" s="14"/>
      <c r="F19" s="2"/>
      <c r="G19" s="1"/>
      <c r="H19" s="1"/>
      <c r="I19" s="1"/>
      <c r="J19" s="1"/>
      <c r="K19" s="1"/>
    </row>
    <row r="20" spans="2:11" ht="18.5" x14ac:dyDescent="0.45">
      <c r="B20" s="236" t="s">
        <v>12</v>
      </c>
      <c r="C20" s="236"/>
      <c r="D20" s="236"/>
      <c r="E20" s="236"/>
      <c r="F20" s="236"/>
      <c r="G20" s="236"/>
      <c r="H20" s="236"/>
      <c r="I20" s="236"/>
      <c r="J20" s="236"/>
      <c r="K20" s="236"/>
    </row>
    <row r="21" spans="2:11" ht="16" thickBot="1" x14ac:dyDescent="0.4">
      <c r="B21" s="23" t="s">
        <v>0</v>
      </c>
      <c r="C21" s="34" t="s">
        <v>1</v>
      </c>
      <c r="D21" s="33" t="s">
        <v>2</v>
      </c>
      <c r="E21" s="33" t="s">
        <v>72</v>
      </c>
      <c r="F21" s="33" t="s">
        <v>117</v>
      </c>
      <c r="G21" s="33" t="s">
        <v>3</v>
      </c>
      <c r="H21" s="33" t="s">
        <v>4</v>
      </c>
      <c r="I21" s="33" t="s">
        <v>5</v>
      </c>
      <c r="J21" s="33" t="s">
        <v>6</v>
      </c>
      <c r="K21" s="33" t="s">
        <v>7</v>
      </c>
    </row>
    <row r="22" spans="2:11" x14ac:dyDescent="0.35">
      <c r="B22" s="25" t="s">
        <v>8</v>
      </c>
      <c r="C22" s="68">
        <f>Budget!B22</f>
        <v>7</v>
      </c>
      <c r="D22" s="140">
        <f>Budget!C22</f>
        <v>4</v>
      </c>
      <c r="E22" s="146">
        <f>Budget!D22</f>
        <v>25</v>
      </c>
      <c r="F22" s="149">
        <f>Budget!E22</f>
        <v>175</v>
      </c>
      <c r="G22" s="149">
        <f>Budget!F22</f>
        <v>175</v>
      </c>
      <c r="H22" s="149">
        <f>Budget!G22</f>
        <v>180</v>
      </c>
      <c r="I22" s="149">
        <f>Budget!H22</f>
        <v>186</v>
      </c>
      <c r="J22" s="149">
        <f>Budget!I22</f>
        <v>191</v>
      </c>
      <c r="K22" s="149">
        <f>Budget!J22</f>
        <v>197</v>
      </c>
    </row>
    <row r="23" spans="2:11" x14ac:dyDescent="0.35">
      <c r="B23" s="16" t="s">
        <v>9</v>
      </c>
      <c r="C23" s="67">
        <f>Budget!B23</f>
        <v>6.2</v>
      </c>
      <c r="D23" s="141">
        <f>Budget!C23</f>
        <v>10</v>
      </c>
      <c r="E23" s="181">
        <f>Budget!D23</f>
        <v>65</v>
      </c>
      <c r="F23" s="150">
        <f>Budget!E23</f>
        <v>404</v>
      </c>
      <c r="G23" s="150">
        <f>Budget!F23</f>
        <v>403</v>
      </c>
      <c r="H23" s="150">
        <f>Budget!G23</f>
        <v>415</v>
      </c>
      <c r="I23" s="150">
        <f>Budget!H23</f>
        <v>428</v>
      </c>
      <c r="J23" s="150">
        <f>Budget!I23</f>
        <v>440</v>
      </c>
      <c r="K23" s="150">
        <f>Budget!J23</f>
        <v>454</v>
      </c>
    </row>
    <row r="24" spans="2:11" x14ac:dyDescent="0.35">
      <c r="B24" s="16" t="s">
        <v>10</v>
      </c>
      <c r="C24" s="67">
        <f>Budget!B24</f>
        <v>250</v>
      </c>
      <c r="D24" s="141">
        <f>Budget!C24</f>
        <v>3</v>
      </c>
      <c r="E24" s="182">
        <f>Budget!D24</f>
        <v>1</v>
      </c>
      <c r="F24" s="151">
        <f>Budget!E24</f>
        <v>0</v>
      </c>
      <c r="G24" s="150">
        <f>Budget!F24</f>
        <v>250</v>
      </c>
      <c r="H24" s="150">
        <f>Budget!G24</f>
        <v>0</v>
      </c>
      <c r="I24" s="150">
        <f>Budget!H24</f>
        <v>0</v>
      </c>
      <c r="J24" s="150">
        <f>Budget!I24</f>
        <v>273</v>
      </c>
      <c r="K24" s="150">
        <f>Budget!J24</f>
        <v>0</v>
      </c>
    </row>
    <row r="25" spans="2:11" x14ac:dyDescent="0.35">
      <c r="B25" s="16" t="s">
        <v>11</v>
      </c>
      <c r="C25" s="67">
        <f>Budget!B25</f>
        <v>18000</v>
      </c>
      <c r="D25" s="141">
        <f>Budget!C25</f>
        <v>7</v>
      </c>
      <c r="E25" s="141">
        <f>Budget!D25</f>
        <v>0</v>
      </c>
      <c r="F25" s="152">
        <f>Budget!E25</f>
        <v>0</v>
      </c>
      <c r="G25" s="150">
        <f>Budget!F25</f>
        <v>0</v>
      </c>
      <c r="H25" s="150">
        <f>Budget!G25</f>
        <v>0</v>
      </c>
      <c r="I25" s="150">
        <f>Budget!H25</f>
        <v>0</v>
      </c>
      <c r="J25" s="150">
        <f>Budget!I25</f>
        <v>0</v>
      </c>
      <c r="K25" s="150">
        <f>Budget!J25</f>
        <v>0</v>
      </c>
    </row>
    <row r="26" spans="2:11" x14ac:dyDescent="0.35">
      <c r="B26" s="16" t="s">
        <v>69</v>
      </c>
      <c r="C26" s="67">
        <f>Budget!B26</f>
        <v>28000</v>
      </c>
      <c r="D26" s="141">
        <f>Budget!C26</f>
        <v>10</v>
      </c>
      <c r="E26" s="141">
        <f>Budget!D26</f>
        <v>0</v>
      </c>
      <c r="F26" s="152">
        <f>Budget!E26</f>
        <v>0</v>
      </c>
      <c r="G26" s="150">
        <f>Budget!F26</f>
        <v>0</v>
      </c>
      <c r="H26" s="150">
        <f>Budget!G26</f>
        <v>0</v>
      </c>
      <c r="I26" s="150">
        <f>Budget!H26</f>
        <v>0</v>
      </c>
      <c r="J26" s="150">
        <f>Budget!I26</f>
        <v>0</v>
      </c>
      <c r="K26" s="150">
        <f>Budget!J26</f>
        <v>0</v>
      </c>
    </row>
    <row r="27" spans="2:11" x14ac:dyDescent="0.35">
      <c r="B27" s="16" t="s">
        <v>70</v>
      </c>
      <c r="C27" s="67">
        <f>Budget!B27</f>
        <v>10000</v>
      </c>
      <c r="D27" s="141">
        <f>Budget!C27</f>
        <v>3</v>
      </c>
      <c r="E27" s="141">
        <f>Budget!D27</f>
        <v>0</v>
      </c>
      <c r="F27" s="152">
        <f>Budget!E27</f>
        <v>0</v>
      </c>
      <c r="G27" s="150">
        <f>Budget!F27</f>
        <v>0</v>
      </c>
      <c r="H27" s="150">
        <f>Budget!G27</f>
        <v>0</v>
      </c>
      <c r="I27" s="150">
        <f>Budget!H27</f>
        <v>0</v>
      </c>
      <c r="J27" s="150">
        <f>Budget!I27</f>
        <v>0</v>
      </c>
      <c r="K27" s="150">
        <f>Budget!J27</f>
        <v>0</v>
      </c>
    </row>
    <row r="28" spans="2:11" ht="44" thickBot="1" x14ac:dyDescent="0.4">
      <c r="B28" s="98" t="s">
        <v>71</v>
      </c>
      <c r="C28" s="69">
        <f>Budget!B28</f>
        <v>1000</v>
      </c>
      <c r="D28" s="142">
        <f>Budget!C28</f>
        <v>5</v>
      </c>
      <c r="E28" s="142">
        <f>Budget!D28</f>
        <v>1</v>
      </c>
      <c r="F28" s="153">
        <f>Budget!E28</f>
        <v>0</v>
      </c>
      <c r="G28" s="154">
        <f>Budget!F28</f>
        <v>1000</v>
      </c>
      <c r="H28" s="154">
        <f>Budget!G28</f>
        <v>0</v>
      </c>
      <c r="I28" s="154">
        <f>Budget!H28</f>
        <v>0</v>
      </c>
      <c r="J28" s="154">
        <f>Budget!I28</f>
        <v>0</v>
      </c>
      <c r="K28" s="154">
        <f>Budget!J28</f>
        <v>0</v>
      </c>
    </row>
    <row r="29" spans="2:11" x14ac:dyDescent="0.35">
      <c r="B29" s="5" t="s">
        <v>45</v>
      </c>
      <c r="C29" s="6"/>
      <c r="D29" s="7"/>
      <c r="E29" s="7"/>
      <c r="F29" s="15"/>
      <c r="G29" s="15">
        <f>SUM(G22:G28)</f>
        <v>1828</v>
      </c>
      <c r="H29" s="15">
        <f>SUM(H22:H28)</f>
        <v>595</v>
      </c>
      <c r="I29" s="15">
        <f>SUM(I22:I28)</f>
        <v>614</v>
      </c>
      <c r="J29" s="15">
        <f>SUM(J22:J28)</f>
        <v>904</v>
      </c>
      <c r="K29" s="15">
        <f>SUM(K22:K28)</f>
        <v>651</v>
      </c>
    </row>
    <row r="30" spans="2:11" x14ac:dyDescent="0.35">
      <c r="B30" s="1"/>
      <c r="C30" s="1"/>
      <c r="D30" s="1"/>
      <c r="E30" s="4"/>
      <c r="F30" s="1"/>
      <c r="G30" s="1"/>
      <c r="H30" s="1"/>
      <c r="I30" s="1"/>
      <c r="J30" s="1"/>
      <c r="K30" s="1"/>
    </row>
    <row r="31" spans="2:11" x14ac:dyDescent="0.35">
      <c r="B31" s="107"/>
      <c r="C31" s="107"/>
      <c r="D31" s="107"/>
      <c r="E31" s="4"/>
      <c r="F31" s="1"/>
      <c r="G31" s="1"/>
      <c r="H31" s="1"/>
      <c r="I31" s="1"/>
      <c r="J31" s="1"/>
      <c r="K31" s="1"/>
    </row>
    <row r="32" spans="2:11" x14ac:dyDescent="0.35">
      <c r="B32" s="107"/>
      <c r="C32" s="107"/>
      <c r="D32" s="107"/>
      <c r="E32" s="4"/>
      <c r="F32" s="1"/>
      <c r="G32" s="1"/>
      <c r="H32" s="1"/>
      <c r="I32" s="1"/>
      <c r="J32" s="1"/>
      <c r="K32" s="1"/>
    </row>
    <row r="33" spans="2:11" x14ac:dyDescent="0.35">
      <c r="B33" s="107"/>
      <c r="C33" s="107"/>
      <c r="D33" s="107"/>
      <c r="E33" s="4"/>
      <c r="F33" s="1"/>
      <c r="G33" s="1"/>
      <c r="H33" s="1"/>
      <c r="I33" s="1"/>
      <c r="J33" s="1"/>
      <c r="K33" s="1"/>
    </row>
    <row r="34" spans="2:11" x14ac:dyDescent="0.35">
      <c r="B34" s="107"/>
      <c r="C34" s="107"/>
      <c r="D34" s="107"/>
      <c r="E34" s="4"/>
      <c r="F34" s="1"/>
      <c r="G34" s="1"/>
      <c r="H34" s="1"/>
      <c r="I34" s="1"/>
      <c r="J34" s="1"/>
      <c r="K34" s="1"/>
    </row>
    <row r="35" spans="2:11" x14ac:dyDescent="0.35">
      <c r="B35" s="107"/>
      <c r="C35" s="107"/>
      <c r="D35" s="107"/>
      <c r="E35" s="4"/>
      <c r="F35" s="1"/>
      <c r="G35" s="1"/>
      <c r="H35" s="1"/>
      <c r="I35" s="1"/>
      <c r="J35" s="1"/>
      <c r="K35" s="1"/>
    </row>
    <row r="36" spans="2:11" x14ac:dyDescent="0.35">
      <c r="B36" s="107"/>
      <c r="C36" s="107"/>
      <c r="D36" s="107"/>
      <c r="E36" s="4"/>
      <c r="F36" s="1"/>
      <c r="G36" s="1"/>
      <c r="H36" s="1"/>
      <c r="I36" s="1"/>
      <c r="J36" s="1"/>
      <c r="K36" s="1"/>
    </row>
    <row r="37" spans="2:11" ht="18.5" x14ac:dyDescent="0.45">
      <c r="B37" s="236" t="s">
        <v>14</v>
      </c>
      <c r="C37" s="236"/>
      <c r="D37" s="236"/>
      <c r="E37" s="236"/>
      <c r="F37" s="236"/>
      <c r="G37" s="236"/>
      <c r="H37" s="236"/>
      <c r="I37" s="236"/>
      <c r="J37" s="1"/>
      <c r="K37" s="1"/>
    </row>
    <row r="38" spans="2:11" ht="44" thickBot="1" x14ac:dyDescent="0.4">
      <c r="B38" s="33" t="s">
        <v>13</v>
      </c>
      <c r="C38" s="23" t="s">
        <v>107</v>
      </c>
      <c r="D38" s="122" t="s">
        <v>110</v>
      </c>
      <c r="E38" s="34" t="s">
        <v>3</v>
      </c>
      <c r="F38" s="33" t="s">
        <v>4</v>
      </c>
      <c r="G38" s="33" t="s">
        <v>5</v>
      </c>
      <c r="H38" s="33" t="s">
        <v>6</v>
      </c>
      <c r="I38" s="33" t="s">
        <v>7</v>
      </c>
      <c r="J38" s="1"/>
      <c r="K38" s="1"/>
    </row>
    <row r="39" spans="2:11" x14ac:dyDescent="0.35">
      <c r="B39" s="41" t="s">
        <v>14</v>
      </c>
      <c r="C39" s="1"/>
      <c r="D39" s="1"/>
      <c r="E39" s="32"/>
      <c r="F39" s="9"/>
      <c r="G39" s="9"/>
      <c r="H39" s="9"/>
      <c r="I39" s="102"/>
      <c r="J39" s="1"/>
      <c r="K39" s="1"/>
    </row>
    <row r="40" spans="2:11" x14ac:dyDescent="0.35">
      <c r="B40" s="25" t="s">
        <v>15</v>
      </c>
      <c r="C40" s="115">
        <f>F5</f>
        <v>1000000</v>
      </c>
      <c r="D40" s="118">
        <f>I5</f>
        <v>6.0000000000000001E-3</v>
      </c>
      <c r="E40" s="119">
        <f>C40*D40</f>
        <v>6000</v>
      </c>
      <c r="F40" s="30">
        <v>6000</v>
      </c>
      <c r="G40" s="30">
        <v>6000</v>
      </c>
      <c r="H40" s="30">
        <v>6000</v>
      </c>
      <c r="I40" s="30">
        <v>6000</v>
      </c>
      <c r="J40" s="12"/>
      <c r="K40" s="12"/>
    </row>
    <row r="41" spans="2:11" x14ac:dyDescent="0.35">
      <c r="B41" s="16" t="s">
        <v>108</v>
      </c>
      <c r="C41" s="116">
        <f>F17+F18</f>
        <v>752</v>
      </c>
      <c r="D41" s="67">
        <f>Budget!C35</f>
        <v>2</v>
      </c>
      <c r="E41" s="125">
        <f>C41*D41</f>
        <v>1504</v>
      </c>
      <c r="F41" s="29">
        <f>ROUND(E41+E41*0.03,0)</f>
        <v>1549</v>
      </c>
      <c r="G41" s="29">
        <f>ROUND(F41+F41*0.03,0)</f>
        <v>1595</v>
      </c>
      <c r="H41" s="29">
        <f t="shared" ref="H41:I52" si="0">ROUND(G41+G41*0.03,0)</f>
        <v>1643</v>
      </c>
      <c r="I41" s="29">
        <f t="shared" si="0"/>
        <v>1692</v>
      </c>
      <c r="J41" s="1"/>
      <c r="K41" s="1"/>
    </row>
    <row r="42" spans="2:11" x14ac:dyDescent="0.35">
      <c r="B42" s="16" t="s">
        <v>16</v>
      </c>
      <c r="C42" s="131">
        <f>Budget!B36</f>
        <v>205</v>
      </c>
      <c r="D42" s="67">
        <f>Budget!C36</f>
        <v>3.5</v>
      </c>
      <c r="E42" s="125">
        <f>C42*D42</f>
        <v>717.5</v>
      </c>
      <c r="F42" s="29">
        <f t="shared" ref="F42:G48" si="1">ROUND(E42+E42*0.03,0)</f>
        <v>739</v>
      </c>
      <c r="G42" s="29">
        <f t="shared" si="1"/>
        <v>761</v>
      </c>
      <c r="H42" s="29">
        <f t="shared" si="0"/>
        <v>784</v>
      </c>
      <c r="I42" s="29">
        <f t="shared" si="0"/>
        <v>808</v>
      </c>
      <c r="J42" s="1"/>
      <c r="K42" s="1"/>
    </row>
    <row r="43" spans="2:11" x14ac:dyDescent="0.35">
      <c r="B43" s="16" t="s">
        <v>17</v>
      </c>
      <c r="C43" s="131">
        <f>Budget!B37</f>
        <v>205</v>
      </c>
      <c r="D43" s="67">
        <f>Budget!C37</f>
        <v>3.5</v>
      </c>
      <c r="E43" s="125">
        <f>C43*D43</f>
        <v>717.5</v>
      </c>
      <c r="F43" s="29">
        <f t="shared" si="1"/>
        <v>739</v>
      </c>
      <c r="G43" s="29">
        <f t="shared" si="1"/>
        <v>761</v>
      </c>
      <c r="H43" s="29">
        <f t="shared" si="0"/>
        <v>784</v>
      </c>
      <c r="I43" s="29">
        <f t="shared" si="0"/>
        <v>808</v>
      </c>
      <c r="J43" s="1"/>
      <c r="K43" s="1"/>
    </row>
    <row r="44" spans="2:11" x14ac:dyDescent="0.35">
      <c r="B44" s="16" t="s">
        <v>18</v>
      </c>
      <c r="C44" s="164">
        <f>Budget!B38</f>
        <v>1</v>
      </c>
      <c r="D44" s="67">
        <f>Budget!C38</f>
        <v>100</v>
      </c>
      <c r="E44" s="125">
        <f>C44*D44</f>
        <v>100</v>
      </c>
      <c r="F44" s="29">
        <f t="shared" si="1"/>
        <v>103</v>
      </c>
      <c r="G44" s="29">
        <f t="shared" si="1"/>
        <v>106</v>
      </c>
      <c r="H44" s="29">
        <f t="shared" si="0"/>
        <v>109</v>
      </c>
      <c r="I44" s="29">
        <f t="shared" si="0"/>
        <v>112</v>
      </c>
      <c r="J44" s="1"/>
      <c r="K44" s="1"/>
    </row>
    <row r="45" spans="2:11" x14ac:dyDescent="0.35">
      <c r="B45" s="16" t="s">
        <v>77</v>
      </c>
      <c r="C45" s="121"/>
      <c r="D45" s="67">
        <f>Budget!C39</f>
        <v>2800</v>
      </c>
      <c r="E45" s="125">
        <f>D45</f>
        <v>2800</v>
      </c>
      <c r="F45" s="29">
        <f t="shared" si="1"/>
        <v>2884</v>
      </c>
      <c r="G45" s="29">
        <f t="shared" si="1"/>
        <v>2971</v>
      </c>
      <c r="H45" s="29">
        <f t="shared" si="0"/>
        <v>3060</v>
      </c>
      <c r="I45" s="29">
        <f t="shared" si="0"/>
        <v>3152</v>
      </c>
      <c r="J45" s="1"/>
      <c r="K45" s="1"/>
    </row>
    <row r="46" spans="2:11" x14ac:dyDescent="0.35">
      <c r="B46" s="16" t="s">
        <v>78</v>
      </c>
      <c r="C46" s="120">
        <f>ROUND(0.75*F17+0.9*F18,0)</f>
        <v>662</v>
      </c>
      <c r="D46" s="67">
        <f>Budget!C40</f>
        <v>1.25</v>
      </c>
      <c r="E46" s="125">
        <f>C46*D46</f>
        <v>827.5</v>
      </c>
      <c r="F46" s="29">
        <f t="shared" si="1"/>
        <v>852</v>
      </c>
      <c r="G46" s="29">
        <f t="shared" si="1"/>
        <v>878</v>
      </c>
      <c r="H46" s="29">
        <f t="shared" si="0"/>
        <v>904</v>
      </c>
      <c r="I46" s="29">
        <f t="shared" si="0"/>
        <v>931</v>
      </c>
      <c r="J46" s="1"/>
      <c r="K46" s="1"/>
    </row>
    <row r="47" spans="2:11" x14ac:dyDescent="0.35">
      <c r="B47" s="16" t="s">
        <v>111</v>
      </c>
      <c r="C47" s="120"/>
      <c r="D47" s="67">
        <f>Budget!C41</f>
        <v>4400</v>
      </c>
      <c r="E47" s="125">
        <f>D47</f>
        <v>4400</v>
      </c>
      <c r="F47" s="119">
        <f t="shared" si="1"/>
        <v>4532</v>
      </c>
      <c r="G47" s="119">
        <f t="shared" si="1"/>
        <v>4668</v>
      </c>
      <c r="H47" s="119">
        <f t="shared" si="0"/>
        <v>4808</v>
      </c>
      <c r="I47" s="119">
        <f t="shared" si="0"/>
        <v>4952</v>
      </c>
      <c r="J47" s="1"/>
      <c r="K47" s="1"/>
    </row>
    <row r="48" spans="2:11" x14ac:dyDescent="0.35">
      <c r="B48" s="16" t="s">
        <v>66</v>
      </c>
      <c r="C48" s="120"/>
      <c r="D48" s="67">
        <f>Budget!C42</f>
        <v>250</v>
      </c>
      <c r="E48" s="125">
        <f>D48</f>
        <v>250</v>
      </c>
      <c r="F48" s="29">
        <f t="shared" si="1"/>
        <v>258</v>
      </c>
      <c r="G48" s="29">
        <f t="shared" si="1"/>
        <v>266</v>
      </c>
      <c r="H48" s="29">
        <f t="shared" si="0"/>
        <v>274</v>
      </c>
      <c r="I48" s="29">
        <f t="shared" si="0"/>
        <v>282</v>
      </c>
      <c r="J48" s="1"/>
      <c r="K48" s="1"/>
    </row>
    <row r="49" spans="2:11" x14ac:dyDescent="0.35">
      <c r="B49" s="42" t="s">
        <v>68</v>
      </c>
      <c r="C49" s="114"/>
      <c r="D49" s="114"/>
      <c r="E49" s="126"/>
      <c r="F49" s="35"/>
      <c r="G49" s="35"/>
      <c r="H49" s="35"/>
      <c r="I49" s="36"/>
      <c r="J49" s="12"/>
      <c r="K49" s="12"/>
    </row>
    <row r="50" spans="2:11" x14ac:dyDescent="0.35">
      <c r="B50" s="16" t="s">
        <v>48</v>
      </c>
      <c r="C50" s="47">
        <f>Budget!B44</f>
        <v>1</v>
      </c>
      <c r="D50" s="47">
        <f>Budget!C44</f>
        <v>750</v>
      </c>
      <c r="E50" s="127">
        <v>750</v>
      </c>
      <c r="F50" s="29">
        <f>ROUND(E50+E50*0.03,0)</f>
        <v>773</v>
      </c>
      <c r="G50" s="29">
        <f>ROUND(F50+F50*0.03,0)</f>
        <v>796</v>
      </c>
      <c r="H50" s="29">
        <f t="shared" si="0"/>
        <v>820</v>
      </c>
      <c r="I50" s="29">
        <f t="shared" si="0"/>
        <v>845</v>
      </c>
      <c r="J50" s="1"/>
      <c r="K50" s="1"/>
    </row>
    <row r="51" spans="2:11" x14ac:dyDescent="0.35">
      <c r="B51" s="16" t="s">
        <v>49</v>
      </c>
      <c r="C51" s="47">
        <f>Budget!B45</f>
        <v>1</v>
      </c>
      <c r="D51" s="47">
        <f>Budget!C45</f>
        <v>250</v>
      </c>
      <c r="E51" s="127">
        <v>250</v>
      </c>
      <c r="F51" s="29">
        <v>250</v>
      </c>
      <c r="G51" s="29">
        <v>250</v>
      </c>
      <c r="H51" s="29">
        <v>250</v>
      </c>
      <c r="I51" s="29">
        <v>250</v>
      </c>
      <c r="J51" s="1"/>
      <c r="K51" s="1"/>
    </row>
    <row r="52" spans="2:11" x14ac:dyDescent="0.35">
      <c r="B52" s="16" t="s">
        <v>20</v>
      </c>
      <c r="C52" s="47">
        <f>Budget!B46</f>
        <v>1</v>
      </c>
      <c r="D52" s="47">
        <f>Budget!C46</f>
        <v>500</v>
      </c>
      <c r="E52" s="127">
        <v>500</v>
      </c>
      <c r="F52" s="29">
        <f>ROUND(E52+E52*0.03,0)</f>
        <v>515</v>
      </c>
      <c r="G52" s="29">
        <f>ROUND(F52+F52*0.03,0)</f>
        <v>530</v>
      </c>
      <c r="H52" s="29">
        <f t="shared" si="0"/>
        <v>546</v>
      </c>
      <c r="I52" s="29">
        <f t="shared" si="0"/>
        <v>562</v>
      </c>
      <c r="J52" s="1"/>
      <c r="K52" s="1"/>
    </row>
    <row r="53" spans="2:11" x14ac:dyDescent="0.35">
      <c r="B53" s="108" t="s">
        <v>104</v>
      </c>
      <c r="C53" s="130">
        <f>Budget!B47</f>
        <v>1</v>
      </c>
      <c r="D53" s="130">
        <f>Budget!C47</f>
        <v>27</v>
      </c>
      <c r="E53" s="128">
        <v>27</v>
      </c>
      <c r="F53" s="109">
        <v>27</v>
      </c>
      <c r="G53" s="109">
        <v>27</v>
      </c>
      <c r="H53" s="109">
        <v>27</v>
      </c>
      <c r="I53" s="109">
        <v>27</v>
      </c>
      <c r="J53" s="1"/>
      <c r="K53" s="1"/>
    </row>
    <row r="54" spans="2:11" ht="16" thickBot="1" x14ac:dyDescent="0.4">
      <c r="B54" s="27" t="s">
        <v>21</v>
      </c>
      <c r="C54" s="48">
        <f>Budget!B48</f>
        <v>1</v>
      </c>
      <c r="D54" s="48">
        <f>Budget!C48</f>
        <v>100</v>
      </c>
      <c r="E54" s="129">
        <v>100</v>
      </c>
      <c r="F54" s="110">
        <v>100</v>
      </c>
      <c r="G54" s="110">
        <v>100</v>
      </c>
      <c r="H54" s="110">
        <v>100</v>
      </c>
      <c r="I54" s="110">
        <v>100</v>
      </c>
      <c r="J54" s="1"/>
      <c r="K54" s="1"/>
    </row>
    <row r="55" spans="2:11" x14ac:dyDescent="0.35">
      <c r="B55" s="3" t="s">
        <v>22</v>
      </c>
      <c r="C55" s="3"/>
      <c r="D55" s="3"/>
      <c r="E55" s="10">
        <f>SUM(E40:E54)</f>
        <v>18943.5</v>
      </c>
      <c r="F55" s="10">
        <f>SUM(F40:F54)</f>
        <v>19321</v>
      </c>
      <c r="G55" s="10">
        <f>SUM(G40:G54)</f>
        <v>19709</v>
      </c>
      <c r="H55" s="10">
        <f>SUM(H40:H54)</f>
        <v>20109</v>
      </c>
      <c r="I55" s="10">
        <f>SUM(I40:I54)</f>
        <v>20521</v>
      </c>
      <c r="J55" s="1"/>
      <c r="K55" s="1"/>
    </row>
    <row r="56" spans="2:11" x14ac:dyDescent="0.35">
      <c r="B56" s="3"/>
      <c r="C56" s="3"/>
      <c r="D56" s="3"/>
      <c r="E56" s="10"/>
      <c r="F56" s="10"/>
      <c r="G56" s="10"/>
      <c r="H56" s="10"/>
      <c r="I56" s="10"/>
      <c r="J56" s="1"/>
      <c r="K56" s="1"/>
    </row>
    <row r="57" spans="2:11" x14ac:dyDescent="0.35">
      <c r="B57" s="3"/>
      <c r="C57" s="3"/>
      <c r="D57" s="3"/>
      <c r="E57" s="10"/>
      <c r="F57" s="10"/>
      <c r="G57" s="10"/>
      <c r="H57" s="10"/>
      <c r="I57" s="10"/>
      <c r="J57" s="1"/>
      <c r="K57" s="1"/>
    </row>
    <row r="58" spans="2:11" x14ac:dyDescent="0.35">
      <c r="B58" s="1"/>
      <c r="C58" s="1"/>
      <c r="D58" s="1"/>
      <c r="E58" s="8"/>
      <c r="F58" s="8"/>
      <c r="G58" s="8"/>
      <c r="H58" s="8"/>
      <c r="I58" s="8"/>
      <c r="J58" s="1"/>
      <c r="K58" s="1"/>
    </row>
    <row r="59" spans="2:11" ht="18.5" x14ac:dyDescent="0.45">
      <c r="B59" s="236" t="s">
        <v>76</v>
      </c>
      <c r="C59" s="236"/>
      <c r="D59" s="236"/>
      <c r="E59" s="236"/>
      <c r="F59" s="236"/>
      <c r="G59" s="236"/>
      <c r="H59" s="236"/>
      <c r="I59" s="236"/>
      <c r="J59" s="1"/>
      <c r="K59" s="1"/>
    </row>
    <row r="60" spans="2:11" ht="16" thickBot="1" x14ac:dyDescent="0.4">
      <c r="B60" s="37"/>
      <c r="C60" s="34" t="s">
        <v>3</v>
      </c>
      <c r="D60" s="33" t="s">
        <v>4</v>
      </c>
      <c r="E60" s="33" t="s">
        <v>5</v>
      </c>
      <c r="F60" s="33" t="s">
        <v>6</v>
      </c>
      <c r="G60" s="33" t="s">
        <v>7</v>
      </c>
      <c r="H60" s="1"/>
      <c r="I60" s="1"/>
      <c r="J60" s="1"/>
      <c r="K60" s="1"/>
    </row>
    <row r="61" spans="2:11" x14ac:dyDescent="0.35">
      <c r="B61" s="25" t="s">
        <v>23</v>
      </c>
      <c r="C61" s="155">
        <f>Budget!$B$56</f>
        <v>0</v>
      </c>
      <c r="D61" s="39">
        <f>C68</f>
        <v>50928.500000000015</v>
      </c>
      <c r="E61" s="39">
        <f>D68</f>
        <v>102712.50000000003</v>
      </c>
      <c r="F61" s="39">
        <f>E68</f>
        <v>154089.50000000006</v>
      </c>
      <c r="G61" s="39">
        <f>F68</f>
        <v>204776.50000000006</v>
      </c>
      <c r="H61" s="1"/>
      <c r="I61" s="1"/>
      <c r="J61" s="1"/>
      <c r="K61" s="1"/>
    </row>
    <row r="62" spans="2:11" x14ac:dyDescent="0.35">
      <c r="B62" s="16" t="s">
        <v>24</v>
      </c>
      <c r="C62" s="38">
        <f>F90</f>
        <v>71700.000000000015</v>
      </c>
      <c r="D62" s="38">
        <f>F90</f>
        <v>71700.000000000015</v>
      </c>
      <c r="E62" s="38">
        <f>F90</f>
        <v>71700.000000000015</v>
      </c>
      <c r="F62" s="38">
        <f>F90</f>
        <v>71700.000000000015</v>
      </c>
      <c r="G62" s="38">
        <f>F90</f>
        <v>71700.000000000015</v>
      </c>
      <c r="H62" s="1"/>
      <c r="I62" s="1"/>
      <c r="J62" s="1"/>
      <c r="K62" s="1"/>
    </row>
    <row r="63" spans="2:11" x14ac:dyDescent="0.35">
      <c r="B63" s="16" t="s">
        <v>25</v>
      </c>
      <c r="C63" s="38"/>
      <c r="D63" s="38"/>
      <c r="E63" s="38"/>
      <c r="F63" s="38"/>
      <c r="G63" s="38"/>
      <c r="H63" s="1"/>
      <c r="I63" s="1"/>
      <c r="J63" s="1"/>
      <c r="K63" s="1"/>
    </row>
    <row r="64" spans="2:11" x14ac:dyDescent="0.35">
      <c r="B64" s="16" t="s">
        <v>64</v>
      </c>
      <c r="C64" s="38">
        <f>E55</f>
        <v>18943.5</v>
      </c>
      <c r="D64" s="38">
        <f>F55</f>
        <v>19321</v>
      </c>
      <c r="E64" s="38">
        <f>G55</f>
        <v>19709</v>
      </c>
      <c r="F64" s="38">
        <f>H55</f>
        <v>20109</v>
      </c>
      <c r="G64" s="38">
        <f>I55</f>
        <v>20521</v>
      </c>
      <c r="H64" s="1"/>
      <c r="I64" s="1"/>
      <c r="J64" s="1"/>
      <c r="K64" s="1"/>
    </row>
    <row r="65" spans="2:11" x14ac:dyDescent="0.35">
      <c r="B65" s="16" t="s">
        <v>65</v>
      </c>
      <c r="C65" s="38">
        <f>G29</f>
        <v>1828</v>
      </c>
      <c r="D65" s="38">
        <f>H29</f>
        <v>595</v>
      </c>
      <c r="E65" s="38">
        <f>I29</f>
        <v>614</v>
      </c>
      <c r="F65" s="38">
        <f>J29</f>
        <v>904</v>
      </c>
      <c r="G65" s="38">
        <f>K29</f>
        <v>651</v>
      </c>
      <c r="H65" s="1"/>
      <c r="I65" s="1"/>
      <c r="J65" s="1"/>
      <c r="K65" s="1"/>
    </row>
    <row r="66" spans="2:11" x14ac:dyDescent="0.35">
      <c r="B66" s="16" t="s">
        <v>28</v>
      </c>
      <c r="C66" s="38">
        <f>C64+C65</f>
        <v>20771.5</v>
      </c>
      <c r="D66" s="38">
        <f>D64+D65</f>
        <v>19916</v>
      </c>
      <c r="E66" s="38">
        <f>E64+E65</f>
        <v>20323</v>
      </c>
      <c r="F66" s="38">
        <f>F64+F65</f>
        <v>21013</v>
      </c>
      <c r="G66" s="38">
        <f>G64+G65</f>
        <v>21172</v>
      </c>
      <c r="H66" s="1"/>
      <c r="I66" s="1"/>
      <c r="J66" s="1"/>
      <c r="K66" s="1"/>
    </row>
    <row r="67" spans="2:11" x14ac:dyDescent="0.35">
      <c r="B67" s="16" t="s">
        <v>26</v>
      </c>
      <c r="C67" s="38">
        <f>C62-C66</f>
        <v>50928.500000000015</v>
      </c>
      <c r="D67" s="38">
        <f>D62-D66</f>
        <v>51784.000000000015</v>
      </c>
      <c r="E67" s="38">
        <f>E62-E66</f>
        <v>51377.000000000015</v>
      </c>
      <c r="F67" s="38">
        <f>F62-F66</f>
        <v>50687.000000000015</v>
      </c>
      <c r="G67" s="38">
        <f>G62-G66</f>
        <v>50528.000000000015</v>
      </c>
      <c r="H67" s="1"/>
      <c r="I67" s="1"/>
      <c r="J67" s="1"/>
      <c r="K67" s="1"/>
    </row>
    <row r="68" spans="2:11" x14ac:dyDescent="0.35">
      <c r="B68" s="16" t="s">
        <v>27</v>
      </c>
      <c r="C68" s="38">
        <f>C61+C67</f>
        <v>50928.500000000015</v>
      </c>
      <c r="D68" s="38">
        <f>D61+D67</f>
        <v>102712.50000000003</v>
      </c>
      <c r="E68" s="38">
        <f>E61+E67</f>
        <v>154089.50000000006</v>
      </c>
      <c r="F68" s="38">
        <f>F61+F67</f>
        <v>204776.50000000006</v>
      </c>
      <c r="G68" s="38">
        <f>G61+G67</f>
        <v>255304.50000000006</v>
      </c>
      <c r="H68" s="1"/>
      <c r="I68" s="1"/>
      <c r="J68" s="1"/>
      <c r="K68" s="1"/>
    </row>
    <row r="69" spans="2:11" x14ac:dyDescent="0.35">
      <c r="B69" s="7"/>
      <c r="C69" s="7"/>
      <c r="D69" s="7"/>
      <c r="E69" s="40"/>
      <c r="F69" s="40"/>
      <c r="G69" s="40"/>
      <c r="H69" s="40"/>
      <c r="I69" s="40"/>
      <c r="J69" s="1"/>
      <c r="K69" s="1"/>
    </row>
    <row r="70" spans="2:11" ht="21.5" x14ac:dyDescent="0.75">
      <c r="B70" s="107"/>
      <c r="C70" s="107"/>
      <c r="D70" s="107"/>
      <c r="E70" s="244" t="s">
        <v>118</v>
      </c>
      <c r="F70" s="244"/>
      <c r="G70" s="1"/>
      <c r="H70" s="1"/>
      <c r="I70" s="1"/>
      <c r="J70" s="1"/>
      <c r="K70" s="1"/>
    </row>
    <row r="71" spans="2:11" x14ac:dyDescent="0.35">
      <c r="B71" s="107"/>
      <c r="C71" s="107"/>
      <c r="D71" s="107"/>
      <c r="E71" s="145"/>
      <c r="F71" s="145"/>
      <c r="G71" s="1"/>
      <c r="H71" s="1"/>
      <c r="I71" s="1"/>
      <c r="J71" s="1"/>
      <c r="K71" s="1"/>
    </row>
    <row r="72" spans="2:11" ht="16" thickBot="1" x14ac:dyDescent="0.4">
      <c r="B72" s="23" t="str">
        <f>Budget!A68</f>
        <v>Capital Item</v>
      </c>
      <c r="C72" s="34" t="str">
        <f>Budget!B68</f>
        <v>Unit Cost</v>
      </c>
      <c r="D72" s="33" t="str">
        <f>Budget!C68</f>
        <v>Years of Life</v>
      </c>
      <c r="E72" s="33" t="str">
        <f>Budget!D68</f>
        <v>Year 1</v>
      </c>
      <c r="F72" s="33" t="str">
        <f>Budget!E68</f>
        <v>Year 2</v>
      </c>
      <c r="G72" s="33" t="str">
        <f>Budget!F68</f>
        <v>Year 3</v>
      </c>
      <c r="H72" s="33" t="str">
        <f>Budget!G68</f>
        <v>Year 4</v>
      </c>
      <c r="I72" s="33" t="str">
        <f>Budget!H68</f>
        <v>Year 5</v>
      </c>
      <c r="J72" s="1"/>
      <c r="K72" s="1"/>
    </row>
    <row r="73" spans="2:11" x14ac:dyDescent="0.35">
      <c r="B73" s="25" t="str">
        <f>Budget!A69</f>
        <v>Nursery Bag</v>
      </c>
      <c r="C73" s="144">
        <f>Budget!B69</f>
        <v>7</v>
      </c>
      <c r="D73" s="140">
        <f>Budget!C69</f>
        <v>4</v>
      </c>
      <c r="E73" s="26">
        <f>Budget!D69</f>
        <v>175</v>
      </c>
      <c r="F73" s="26">
        <f>Budget!E69</f>
        <v>180</v>
      </c>
      <c r="G73" s="26">
        <f>Budget!F69</f>
        <v>185</v>
      </c>
      <c r="H73" s="26">
        <f>Budget!G69</f>
        <v>191</v>
      </c>
      <c r="I73" s="26">
        <f>Budget!H69</f>
        <v>197</v>
      </c>
      <c r="J73" s="1"/>
      <c r="K73" s="1"/>
    </row>
    <row r="74" spans="2:11" x14ac:dyDescent="0.35">
      <c r="B74" s="16" t="str">
        <f>Budget!A70</f>
        <v>Growout Bag</v>
      </c>
      <c r="C74" s="144">
        <f>Budget!B70</f>
        <v>6.2</v>
      </c>
      <c r="D74" s="141">
        <f>Budget!C70</f>
        <v>10</v>
      </c>
      <c r="E74" s="26">
        <f>Budget!D70</f>
        <v>404</v>
      </c>
      <c r="F74" s="26">
        <f>Budget!E70</f>
        <v>416</v>
      </c>
      <c r="G74" s="26">
        <f>Budget!F70</f>
        <v>428</v>
      </c>
      <c r="H74" s="26">
        <f>Budget!G70</f>
        <v>441</v>
      </c>
      <c r="I74" s="26">
        <f>Budget!H70</f>
        <v>454</v>
      </c>
      <c r="J74" s="1"/>
      <c r="K74" s="1"/>
    </row>
    <row r="75" spans="2:11" x14ac:dyDescent="0.35">
      <c r="B75" s="16" t="str">
        <f>Budget!A71</f>
        <v>Wet Suit</v>
      </c>
      <c r="C75" s="144">
        <f>Budget!B71</f>
        <v>250</v>
      </c>
      <c r="D75" s="141">
        <f>Budget!C71</f>
        <v>3</v>
      </c>
      <c r="E75" s="24">
        <f>Budget!D71</f>
        <v>83.333333333333329</v>
      </c>
      <c r="F75" s="24">
        <f>Budget!E71</f>
        <v>86</v>
      </c>
      <c r="G75" s="24">
        <f>Budget!F71</f>
        <v>89</v>
      </c>
      <c r="H75" s="24">
        <f>Budget!G71</f>
        <v>92</v>
      </c>
      <c r="I75" s="24">
        <f>Budget!H71</f>
        <v>95</v>
      </c>
      <c r="J75" s="1"/>
      <c r="K75" s="1"/>
    </row>
    <row r="76" spans="2:11" x14ac:dyDescent="0.35">
      <c r="B76" s="16" t="str">
        <f>Budget!A72</f>
        <v>Boat</v>
      </c>
      <c r="C76" s="144">
        <f>Budget!B72</f>
        <v>18000</v>
      </c>
      <c r="D76" s="141">
        <f>Budget!C72</f>
        <v>7</v>
      </c>
      <c r="E76" s="24">
        <f>Budget!D72</f>
        <v>0</v>
      </c>
      <c r="F76" s="24">
        <f>Budget!E72</f>
        <v>0</v>
      </c>
      <c r="G76" s="24">
        <f>Budget!F72</f>
        <v>0</v>
      </c>
      <c r="H76" s="24">
        <f>Budget!G72</f>
        <v>0</v>
      </c>
      <c r="I76" s="24">
        <f>Budget!H72</f>
        <v>0</v>
      </c>
      <c r="J76" s="1"/>
      <c r="K76" s="1"/>
    </row>
    <row r="77" spans="2:11" x14ac:dyDescent="0.35">
      <c r="B77" s="16" t="str">
        <f>Budget!A73</f>
        <v>Truck</v>
      </c>
      <c r="C77" s="144">
        <f>Budget!B73</f>
        <v>28000</v>
      </c>
      <c r="D77" s="141">
        <f>Budget!C73</f>
        <v>10</v>
      </c>
      <c r="E77" s="24">
        <f>Budget!D73</f>
        <v>0</v>
      </c>
      <c r="F77" s="24">
        <f>Budget!E73</f>
        <v>0</v>
      </c>
      <c r="G77" s="24">
        <f>Budget!F73</f>
        <v>0</v>
      </c>
      <c r="H77" s="24">
        <f>Budget!G73</f>
        <v>0</v>
      </c>
      <c r="I77" s="24">
        <f>Budget!H73</f>
        <v>0</v>
      </c>
      <c r="J77" s="1"/>
      <c r="K77" s="1"/>
    </row>
    <row r="78" spans="2:11" x14ac:dyDescent="0.35">
      <c r="B78" s="16" t="str">
        <f>Budget!A74</f>
        <v>Motor</v>
      </c>
      <c r="C78" s="144">
        <f>Budget!B74</f>
        <v>10000</v>
      </c>
      <c r="D78" s="141">
        <f>Budget!C74</f>
        <v>3</v>
      </c>
      <c r="E78" s="24">
        <f>Budget!D74</f>
        <v>0</v>
      </c>
      <c r="F78" s="24">
        <f>Budget!E74</f>
        <v>0</v>
      </c>
      <c r="G78" s="24">
        <f>Budget!F74</f>
        <v>0</v>
      </c>
      <c r="H78" s="24">
        <f>Budget!G74</f>
        <v>0</v>
      </c>
      <c r="I78" s="24">
        <f>Budget!H74</f>
        <v>0</v>
      </c>
      <c r="J78" s="1"/>
      <c r="K78" s="1"/>
    </row>
    <row r="79" spans="2:11" ht="44" thickBot="1" x14ac:dyDescent="0.4">
      <c r="B79" s="98" t="str">
        <f>Budget!A75</f>
        <v>Winch/Davit/Boom/Pulley/Batteries</v>
      </c>
      <c r="C79" s="129">
        <f>Budget!B75</f>
        <v>1000</v>
      </c>
      <c r="D79" s="142">
        <f>Budget!C75</f>
        <v>5</v>
      </c>
      <c r="E79" s="28">
        <f>Budget!D75</f>
        <v>200</v>
      </c>
      <c r="F79" s="28">
        <f>Budget!E75</f>
        <v>206</v>
      </c>
      <c r="G79" s="28">
        <f>Budget!F75</f>
        <v>212</v>
      </c>
      <c r="H79" s="28">
        <f>Budget!G75</f>
        <v>218</v>
      </c>
      <c r="I79" s="28">
        <f>Budget!H75</f>
        <v>225</v>
      </c>
      <c r="J79" s="1"/>
      <c r="K79" s="1"/>
    </row>
    <row r="80" spans="2:11" x14ac:dyDescent="0.35">
      <c r="B80" s="5" t="str">
        <f>Budget!A76</f>
        <v xml:space="preserve">Total Investment </v>
      </c>
      <c r="C80" s="6">
        <f>Budget!B76</f>
        <v>0</v>
      </c>
      <c r="D80" s="7">
        <f>Budget!C76</f>
        <v>0</v>
      </c>
      <c r="E80" s="15">
        <f>Budget!D76</f>
        <v>862.33333333333337</v>
      </c>
      <c r="F80" s="15">
        <f>Budget!E76</f>
        <v>888</v>
      </c>
      <c r="G80" s="15">
        <f>Budget!F76</f>
        <v>914</v>
      </c>
      <c r="H80" s="15">
        <f>Budget!G76</f>
        <v>942</v>
      </c>
      <c r="I80" s="15">
        <f>Budget!H76</f>
        <v>971</v>
      </c>
      <c r="J80" s="1"/>
      <c r="K80" s="1"/>
    </row>
    <row r="81" spans="2:11" x14ac:dyDescent="0.35">
      <c r="B81" s="7"/>
      <c r="C81" s="7"/>
      <c r="D81" s="7"/>
      <c r="E81" s="40"/>
      <c r="F81" s="40"/>
      <c r="G81" s="40"/>
      <c r="H81" s="40"/>
      <c r="I81" s="40"/>
      <c r="J81" s="1"/>
      <c r="K81" s="1"/>
    </row>
    <row r="82" spans="2:11" x14ac:dyDescent="0.35">
      <c r="B82" s="1"/>
      <c r="C82" s="1"/>
      <c r="D82" s="1"/>
      <c r="E82" s="4"/>
      <c r="F82" s="1"/>
      <c r="G82" s="1"/>
      <c r="H82" s="1"/>
      <c r="I82" s="1"/>
      <c r="J82" s="1"/>
      <c r="K82" s="1"/>
    </row>
    <row r="83" spans="2:11" ht="18.5" x14ac:dyDescent="0.45">
      <c r="B83" s="236" t="s">
        <v>75</v>
      </c>
      <c r="C83" s="236"/>
      <c r="D83" s="236"/>
      <c r="E83" s="236"/>
      <c r="F83" s="236"/>
      <c r="G83" s="236"/>
      <c r="H83" s="143"/>
      <c r="I83" s="143"/>
      <c r="J83" s="1"/>
      <c r="K83" s="1"/>
    </row>
    <row r="84" spans="2:11" ht="16" thickBot="1" x14ac:dyDescent="0.4">
      <c r="B84" s="33" t="s">
        <v>29</v>
      </c>
      <c r="C84" s="33"/>
      <c r="D84" s="34" t="s">
        <v>30</v>
      </c>
      <c r="E84" s="33" t="s">
        <v>31</v>
      </c>
      <c r="F84" s="33" t="s">
        <v>32</v>
      </c>
      <c r="G84" s="1"/>
      <c r="H84" s="1"/>
      <c r="I84" s="1"/>
      <c r="J84" s="1"/>
      <c r="K84" s="1"/>
    </row>
    <row r="85" spans="2:11" x14ac:dyDescent="0.35">
      <c r="B85" s="31" t="s">
        <v>33</v>
      </c>
      <c r="C85" s="31"/>
      <c r="D85" s="6"/>
      <c r="E85" s="7"/>
      <c r="F85" s="7"/>
      <c r="G85" s="1"/>
      <c r="H85" s="1"/>
      <c r="I85" s="1"/>
      <c r="J85" s="1"/>
      <c r="K85" s="1"/>
    </row>
    <row r="86" spans="2:11" x14ac:dyDescent="0.35">
      <c r="B86" s="7" t="s">
        <v>34</v>
      </c>
      <c r="C86" s="7"/>
      <c r="D86" s="50">
        <f>F13*D90</f>
        <v>420000.00000000006</v>
      </c>
      <c r="E86" s="51">
        <f>I7</f>
        <v>0.13</v>
      </c>
      <c r="F86" s="11">
        <f>E86*D86</f>
        <v>54600.000000000007</v>
      </c>
      <c r="G86" s="1"/>
      <c r="H86" s="1"/>
      <c r="I86" s="1"/>
      <c r="J86" s="1"/>
      <c r="K86" s="1"/>
    </row>
    <row r="87" spans="2:11" x14ac:dyDescent="0.35">
      <c r="B87" s="7" t="s">
        <v>35</v>
      </c>
      <c r="C87" s="7"/>
      <c r="D87" s="50">
        <f>F14*D90</f>
        <v>120000.00000000003</v>
      </c>
      <c r="E87" s="51">
        <f>I8</f>
        <v>0.11</v>
      </c>
      <c r="F87" s="11">
        <f>E87*D87</f>
        <v>13200.000000000004</v>
      </c>
      <c r="G87" s="1"/>
      <c r="H87" s="1"/>
      <c r="I87" s="1"/>
      <c r="J87" s="1"/>
      <c r="K87" s="1"/>
    </row>
    <row r="88" spans="2:11" x14ac:dyDescent="0.35">
      <c r="B88" s="7" t="s">
        <v>36</v>
      </c>
      <c r="C88" s="7"/>
      <c r="D88" s="50">
        <f>F15*D90</f>
        <v>60000.000000000015</v>
      </c>
      <c r="E88" s="52">
        <f>I9</f>
        <v>6.5000000000000002E-2</v>
      </c>
      <c r="F88" s="13">
        <f>E88*D88</f>
        <v>3900.0000000000009</v>
      </c>
      <c r="G88" s="1"/>
      <c r="H88" s="1"/>
      <c r="I88" s="1"/>
      <c r="J88" s="1"/>
      <c r="K88" s="1"/>
    </row>
    <row r="89" spans="2:11" x14ac:dyDescent="0.35">
      <c r="B89" s="261"/>
      <c r="C89" s="261"/>
      <c r="D89" s="261"/>
      <c r="E89" s="261"/>
      <c r="F89" s="261"/>
      <c r="G89" s="261"/>
      <c r="H89" s="1"/>
      <c r="I89" s="1"/>
      <c r="J89" s="1"/>
      <c r="K89" s="1"/>
    </row>
    <row r="90" spans="2:11" x14ac:dyDescent="0.35">
      <c r="B90" s="5" t="s">
        <v>79</v>
      </c>
      <c r="C90" s="5"/>
      <c r="D90" s="50">
        <f>D93*F11</f>
        <v>600000.00000000012</v>
      </c>
      <c r="E90" s="51"/>
      <c r="F90" s="53">
        <f>SUM(F86:F88)</f>
        <v>71700.000000000015</v>
      </c>
      <c r="G90" s="1"/>
      <c r="H90" s="1"/>
      <c r="I90" s="1"/>
      <c r="J90" s="1"/>
      <c r="K90" s="1"/>
    </row>
    <row r="91" spans="2:11" x14ac:dyDescent="0.35">
      <c r="B91" s="261"/>
      <c r="C91" s="261"/>
      <c r="D91" s="261"/>
      <c r="E91" s="261"/>
      <c r="F91" s="261"/>
      <c r="G91" s="261"/>
      <c r="H91" s="1"/>
      <c r="I91" s="1"/>
      <c r="J91" s="1"/>
      <c r="K91" s="1"/>
    </row>
    <row r="92" spans="2:11" x14ac:dyDescent="0.35">
      <c r="B92" s="31" t="s">
        <v>14</v>
      </c>
      <c r="C92" s="31"/>
      <c r="D92" s="31"/>
      <c r="E92" s="50"/>
      <c r="F92" s="51"/>
      <c r="G92" s="11"/>
      <c r="H92" s="1"/>
      <c r="I92" s="1"/>
      <c r="J92" s="1"/>
      <c r="K92" s="1"/>
    </row>
    <row r="93" spans="2:11" x14ac:dyDescent="0.35">
      <c r="B93" s="7" t="s">
        <v>82</v>
      </c>
      <c r="C93" s="7"/>
      <c r="D93" s="50">
        <f>F5</f>
        <v>1000000</v>
      </c>
      <c r="E93" s="52">
        <f>I5</f>
        <v>6.0000000000000001E-3</v>
      </c>
      <c r="F93" s="11">
        <f>E93*D93</f>
        <v>6000</v>
      </c>
      <c r="G93" s="1"/>
      <c r="H93" s="1"/>
      <c r="I93" s="1"/>
      <c r="J93" s="1"/>
      <c r="K93" s="1"/>
    </row>
    <row r="94" spans="2:11" x14ac:dyDescent="0.35">
      <c r="B94" s="7" t="s">
        <v>83</v>
      </c>
      <c r="C94" s="7"/>
      <c r="D94" s="50">
        <f>F18+F17</f>
        <v>752</v>
      </c>
      <c r="E94" s="11">
        <f>D41</f>
        <v>2</v>
      </c>
      <c r="F94" s="11">
        <f>E94*D94</f>
        <v>1504</v>
      </c>
      <c r="G94" s="1"/>
      <c r="H94" s="1"/>
      <c r="I94" s="1"/>
      <c r="J94" s="1"/>
      <c r="K94" s="1"/>
    </row>
    <row r="95" spans="2:11" x14ac:dyDescent="0.35">
      <c r="B95" s="7" t="s">
        <v>84</v>
      </c>
      <c r="C95" s="7"/>
      <c r="D95" s="50">
        <f>C42</f>
        <v>205</v>
      </c>
      <c r="E95" s="51">
        <f>D42</f>
        <v>3.5</v>
      </c>
      <c r="F95" s="11">
        <f>ROUND(E95*D95,0)</f>
        <v>718</v>
      </c>
      <c r="G95" s="1"/>
      <c r="H95" s="1"/>
      <c r="I95" s="1"/>
      <c r="J95" s="1"/>
      <c r="K95" s="1"/>
    </row>
    <row r="96" spans="2:11" x14ac:dyDescent="0.35">
      <c r="B96" s="7" t="s">
        <v>85</v>
      </c>
      <c r="C96" s="7"/>
      <c r="D96" s="50">
        <f>C43</f>
        <v>205</v>
      </c>
      <c r="E96" s="51">
        <f>D43</f>
        <v>3.5</v>
      </c>
      <c r="F96" s="11">
        <f>ROUND(E96*D96,0)</f>
        <v>718</v>
      </c>
      <c r="G96" s="1"/>
      <c r="H96" s="1"/>
      <c r="I96" s="1"/>
      <c r="J96" s="1"/>
      <c r="K96" s="1"/>
    </row>
    <row r="97" spans="2:11" x14ac:dyDescent="0.35">
      <c r="B97" s="7" t="s">
        <v>109</v>
      </c>
      <c r="C97" s="7"/>
      <c r="D97" s="50"/>
      <c r="E97" s="4"/>
      <c r="F97" s="11">
        <f>D45</f>
        <v>2800</v>
      </c>
      <c r="G97" s="1"/>
      <c r="H97" s="1"/>
      <c r="I97" s="1"/>
      <c r="J97" s="1"/>
      <c r="K97" s="1"/>
    </row>
    <row r="98" spans="2:11" x14ac:dyDescent="0.35">
      <c r="B98" s="7" t="s">
        <v>86</v>
      </c>
      <c r="C98" s="7"/>
      <c r="D98" s="50">
        <f>C46</f>
        <v>662</v>
      </c>
      <c r="E98" s="51">
        <f>D46</f>
        <v>1.25</v>
      </c>
      <c r="F98" s="11">
        <f>ROUND(E98*D98,0)</f>
        <v>828</v>
      </c>
      <c r="G98" s="1"/>
      <c r="H98" s="1"/>
      <c r="I98" s="1"/>
      <c r="J98" s="1"/>
      <c r="K98" s="1"/>
    </row>
    <row r="99" spans="2:11" x14ac:dyDescent="0.35">
      <c r="B99" s="7" t="s">
        <v>87</v>
      </c>
      <c r="C99" s="7"/>
      <c r="D99" s="50">
        <f>C44</f>
        <v>1</v>
      </c>
      <c r="E99" s="11">
        <f>D44</f>
        <v>100</v>
      </c>
      <c r="F99" s="11">
        <f>D99*E99</f>
        <v>100</v>
      </c>
      <c r="G99" s="1"/>
      <c r="H99" s="1"/>
      <c r="I99" s="1"/>
      <c r="J99" s="1"/>
      <c r="K99" s="1"/>
    </row>
    <row r="100" spans="2:11" x14ac:dyDescent="0.35">
      <c r="B100" s="7" t="s">
        <v>105</v>
      </c>
      <c r="C100" s="7"/>
      <c r="D100" s="50"/>
      <c r="E100" s="11"/>
      <c r="F100" s="11">
        <f>D47</f>
        <v>4400</v>
      </c>
      <c r="G100" s="1"/>
      <c r="H100" s="1"/>
      <c r="I100" s="1"/>
      <c r="J100" s="1"/>
      <c r="K100" s="1"/>
    </row>
    <row r="101" spans="2:11" x14ac:dyDescent="0.35">
      <c r="B101" s="7" t="s">
        <v>80</v>
      </c>
      <c r="C101" s="7"/>
      <c r="D101" s="50"/>
      <c r="E101" s="51"/>
      <c r="F101" s="13">
        <f>D48</f>
        <v>250</v>
      </c>
      <c r="G101" s="1"/>
      <c r="H101" s="1"/>
      <c r="I101" s="1"/>
      <c r="J101" s="1"/>
      <c r="K101" s="1"/>
    </row>
    <row r="102" spans="2:11" x14ac:dyDescent="0.35">
      <c r="B102" s="5" t="s">
        <v>37</v>
      </c>
      <c r="C102" s="5"/>
      <c r="D102" s="5"/>
      <c r="E102" s="50"/>
      <c r="F102" s="11">
        <f>SUM(F93:F101)</f>
        <v>17318</v>
      </c>
      <c r="G102" s="53"/>
      <c r="H102" s="1"/>
      <c r="I102" s="1"/>
      <c r="J102" s="1"/>
      <c r="K102" s="1"/>
    </row>
    <row r="103" spans="2:11" x14ac:dyDescent="0.35">
      <c r="B103" s="261"/>
      <c r="C103" s="261"/>
      <c r="D103" s="261"/>
      <c r="E103" s="261"/>
      <c r="F103" s="261"/>
      <c r="G103" s="261"/>
      <c r="H103" s="1"/>
      <c r="I103" s="1"/>
      <c r="J103" s="1"/>
      <c r="K103" s="1"/>
    </row>
    <row r="104" spans="2:11" x14ac:dyDescent="0.35">
      <c r="B104" s="31" t="s">
        <v>38</v>
      </c>
      <c r="C104" s="31"/>
      <c r="D104" s="31"/>
      <c r="E104" s="50"/>
      <c r="F104" s="51"/>
      <c r="G104" s="11"/>
      <c r="H104" s="1"/>
      <c r="I104" s="1"/>
      <c r="J104" s="1"/>
      <c r="K104" s="1"/>
    </row>
    <row r="105" spans="2:11" x14ac:dyDescent="0.35">
      <c r="B105" s="123" t="s">
        <v>19</v>
      </c>
      <c r="C105" s="7"/>
      <c r="D105" s="7"/>
      <c r="E105" s="6"/>
      <c r="F105" s="7"/>
      <c r="G105" s="7"/>
      <c r="H105" s="1"/>
      <c r="I105" s="1"/>
      <c r="J105" s="1"/>
      <c r="K105" s="1"/>
    </row>
    <row r="106" spans="2:11" x14ac:dyDescent="0.35">
      <c r="B106" s="7" t="s">
        <v>114</v>
      </c>
      <c r="C106" s="7"/>
      <c r="D106" s="50">
        <f t="shared" ref="D106:E110" si="2">C50</f>
        <v>1</v>
      </c>
      <c r="E106" s="11">
        <f t="shared" si="2"/>
        <v>750</v>
      </c>
      <c r="F106" s="11">
        <f>E106*D106</f>
        <v>750</v>
      </c>
      <c r="G106" s="1"/>
      <c r="H106" s="1"/>
      <c r="I106" s="1"/>
      <c r="J106" s="1"/>
      <c r="K106" s="1"/>
    </row>
    <row r="107" spans="2:11" x14ac:dyDescent="0.35">
      <c r="B107" s="7" t="s">
        <v>115</v>
      </c>
      <c r="C107" s="7"/>
      <c r="D107" s="50">
        <f t="shared" si="2"/>
        <v>1</v>
      </c>
      <c r="E107" s="11">
        <f t="shared" si="2"/>
        <v>250</v>
      </c>
      <c r="F107" s="11">
        <f>D107*E107</f>
        <v>250</v>
      </c>
      <c r="G107" s="1"/>
      <c r="H107" s="1"/>
      <c r="I107" s="1"/>
      <c r="J107" s="1"/>
      <c r="K107" s="1"/>
    </row>
    <row r="108" spans="2:11" x14ac:dyDescent="0.35">
      <c r="B108" s="7" t="s">
        <v>81</v>
      </c>
      <c r="C108" s="7"/>
      <c r="D108" s="50">
        <f t="shared" si="2"/>
        <v>1</v>
      </c>
      <c r="E108" s="11">
        <f t="shared" si="2"/>
        <v>500</v>
      </c>
      <c r="F108" s="11">
        <f>E108*D108</f>
        <v>500</v>
      </c>
      <c r="G108" s="1"/>
      <c r="H108" s="1"/>
      <c r="I108" s="1"/>
      <c r="J108" s="1"/>
      <c r="K108" s="1"/>
    </row>
    <row r="109" spans="2:11" x14ac:dyDescent="0.35">
      <c r="B109" s="7" t="s">
        <v>112</v>
      </c>
      <c r="C109" s="7"/>
      <c r="D109" s="50">
        <f t="shared" si="2"/>
        <v>1</v>
      </c>
      <c r="E109" s="11">
        <f t="shared" si="2"/>
        <v>27</v>
      </c>
      <c r="F109" s="11">
        <f>D109*E109</f>
        <v>27</v>
      </c>
      <c r="G109" s="1"/>
      <c r="H109" s="1"/>
      <c r="I109" s="1"/>
      <c r="J109" s="1"/>
      <c r="K109" s="1"/>
    </row>
    <row r="110" spans="2:11" x14ac:dyDescent="0.35">
      <c r="B110" s="7" t="s">
        <v>113</v>
      </c>
      <c r="C110" s="7"/>
      <c r="D110" s="50">
        <f t="shared" si="2"/>
        <v>1</v>
      </c>
      <c r="E110" s="11">
        <f t="shared" si="2"/>
        <v>100</v>
      </c>
      <c r="F110" s="11">
        <f>E110*D110</f>
        <v>100</v>
      </c>
      <c r="G110" s="1"/>
      <c r="H110" s="1"/>
      <c r="I110" s="1"/>
      <c r="J110" s="1"/>
      <c r="K110" s="1"/>
    </row>
    <row r="111" spans="2:11" x14ac:dyDescent="0.35">
      <c r="B111" s="261"/>
      <c r="C111" s="261"/>
      <c r="D111" s="261"/>
      <c r="E111" s="261"/>
      <c r="F111" s="261"/>
      <c r="G111" s="261"/>
      <c r="H111" s="1"/>
      <c r="I111" s="1"/>
      <c r="J111" s="1"/>
      <c r="K111" s="1"/>
    </row>
    <row r="112" spans="2:11" x14ac:dyDescent="0.35">
      <c r="B112" s="7" t="s">
        <v>39</v>
      </c>
      <c r="C112" s="7"/>
      <c r="D112" s="7"/>
      <c r="E112" s="6"/>
      <c r="F112" s="11">
        <f>ROUND(AVERAGE(G29:K29),0)</f>
        <v>918</v>
      </c>
      <c r="G112" s="1"/>
      <c r="H112" s="1"/>
      <c r="I112" s="1"/>
      <c r="J112" s="1"/>
      <c r="K112" s="1"/>
    </row>
    <row r="113" spans="2:11" x14ac:dyDescent="0.35">
      <c r="B113" s="7" t="s">
        <v>40</v>
      </c>
      <c r="C113" s="7"/>
      <c r="D113" s="7"/>
      <c r="E113" s="6"/>
      <c r="F113" s="13">
        <f>AVERAGE(E80:I80)</f>
        <v>915.46666666666681</v>
      </c>
      <c r="G113" s="1"/>
      <c r="H113" s="1"/>
      <c r="I113" s="1"/>
      <c r="J113" s="1"/>
      <c r="K113" s="1"/>
    </row>
    <row r="114" spans="2:11" x14ac:dyDescent="0.35">
      <c r="B114" s="5" t="s">
        <v>41</v>
      </c>
      <c r="C114" s="5"/>
      <c r="D114" s="5"/>
      <c r="E114" s="6"/>
      <c r="F114" s="53">
        <f>SUM(F106:F113)</f>
        <v>3460.4666666666667</v>
      </c>
      <c r="G114" s="1"/>
      <c r="H114" s="1"/>
      <c r="I114" s="1"/>
      <c r="J114" s="1"/>
      <c r="K114" s="1"/>
    </row>
    <row r="115" spans="2:11" x14ac:dyDescent="0.35">
      <c r="B115" s="5"/>
      <c r="C115" s="5"/>
      <c r="D115" s="5"/>
      <c r="E115" s="6"/>
      <c r="F115" s="53"/>
      <c r="G115" s="1"/>
      <c r="H115" s="1"/>
      <c r="I115" s="1"/>
      <c r="J115" s="1"/>
      <c r="K115" s="1"/>
    </row>
    <row r="116" spans="2:11" x14ac:dyDescent="0.35">
      <c r="B116" s="31" t="s">
        <v>90</v>
      </c>
      <c r="C116" s="31"/>
      <c r="D116" s="31"/>
      <c r="E116" s="6"/>
      <c r="F116" s="53">
        <f>F114+F102</f>
        <v>20778.466666666667</v>
      </c>
      <c r="G116" s="1"/>
      <c r="H116" s="1"/>
      <c r="I116" s="1"/>
      <c r="J116" s="1"/>
      <c r="K116" s="1"/>
    </row>
    <row r="117" spans="2:11" x14ac:dyDescent="0.35">
      <c r="B117" s="31"/>
      <c r="C117" s="31"/>
      <c r="D117" s="31"/>
      <c r="E117" s="6"/>
      <c r="F117" s="11"/>
      <c r="G117" s="1"/>
      <c r="H117" s="1"/>
      <c r="I117" s="1"/>
      <c r="J117" s="1"/>
      <c r="K117" s="1"/>
    </row>
    <row r="118" spans="2:11" x14ac:dyDescent="0.35">
      <c r="B118" s="31" t="s">
        <v>122</v>
      </c>
      <c r="C118" s="31"/>
      <c r="D118" s="31"/>
      <c r="E118" s="6"/>
      <c r="F118" s="11"/>
      <c r="G118" s="1"/>
      <c r="H118" s="1"/>
      <c r="I118" s="1"/>
      <c r="J118" s="1"/>
      <c r="K118" s="1"/>
    </row>
    <row r="119" spans="2:11" x14ac:dyDescent="0.35">
      <c r="B119" s="123" t="s">
        <v>123</v>
      </c>
      <c r="C119" s="31"/>
      <c r="D119" s="31"/>
      <c r="E119" s="6"/>
      <c r="F119" s="11"/>
      <c r="G119" s="1"/>
      <c r="H119" s="1"/>
      <c r="I119" s="1"/>
      <c r="J119" s="1"/>
      <c r="K119" s="1"/>
    </row>
    <row r="120" spans="2:11" x14ac:dyDescent="0.35">
      <c r="B120" s="5" t="s">
        <v>119</v>
      </c>
      <c r="C120" s="31"/>
      <c r="D120" s="31"/>
      <c r="E120" s="6"/>
      <c r="F120" s="11">
        <f>F90-(F116-F113)</f>
        <v>51837.000000000015</v>
      </c>
      <c r="G120" s="1"/>
      <c r="H120" s="1"/>
      <c r="I120" s="1"/>
      <c r="J120" s="1"/>
      <c r="K120" s="1"/>
    </row>
    <row r="121" spans="2:11" x14ac:dyDescent="0.35">
      <c r="B121" s="5" t="s">
        <v>120</v>
      </c>
      <c r="C121" s="31"/>
      <c r="D121" s="31"/>
      <c r="E121" s="6"/>
      <c r="F121" s="157">
        <f>(F116-F113)/D90</f>
        <v>3.3104999999999996E-2</v>
      </c>
      <c r="G121" s="1"/>
      <c r="H121" s="1"/>
      <c r="I121" s="1"/>
      <c r="J121" s="1"/>
      <c r="K121" s="1"/>
    </row>
    <row r="122" spans="2:11" x14ac:dyDescent="0.35">
      <c r="B122" s="5" t="s">
        <v>121</v>
      </c>
      <c r="C122" s="31"/>
      <c r="D122" s="31"/>
      <c r="E122" s="6"/>
      <c r="F122" s="55">
        <f>((F116-F113)/(E86*(D86/D90)+E87*(D87/D90)+E88*(D88/D90)))/D93</f>
        <v>0.16621757322175731</v>
      </c>
      <c r="G122" s="1"/>
      <c r="H122" s="1"/>
      <c r="I122" s="1"/>
      <c r="J122" s="1"/>
      <c r="K122" s="1"/>
    </row>
    <row r="123" spans="2:11" x14ac:dyDescent="0.35">
      <c r="B123" s="5"/>
      <c r="C123" s="31"/>
      <c r="D123" s="31"/>
      <c r="E123" s="6"/>
      <c r="F123" s="55"/>
      <c r="G123" s="1"/>
      <c r="H123" s="1"/>
      <c r="I123" s="1"/>
      <c r="J123" s="1"/>
      <c r="K123" s="1"/>
    </row>
    <row r="124" spans="2:11" x14ac:dyDescent="0.35">
      <c r="B124" s="158" t="s">
        <v>90</v>
      </c>
      <c r="C124" s="156"/>
      <c r="D124" s="156"/>
      <c r="E124" s="156"/>
      <c r="F124" s="156"/>
      <c r="G124" s="156"/>
      <c r="H124" s="1"/>
      <c r="I124" s="1"/>
      <c r="J124" s="1"/>
      <c r="K124" s="1"/>
    </row>
    <row r="125" spans="2:11" x14ac:dyDescent="0.35">
      <c r="B125" s="5" t="s">
        <v>42</v>
      </c>
      <c r="C125" s="5"/>
      <c r="D125" s="5"/>
      <c r="E125" s="6"/>
      <c r="F125" s="11">
        <f>F90-F116</f>
        <v>50921.533333333347</v>
      </c>
      <c r="G125" s="1"/>
      <c r="H125" s="1"/>
      <c r="I125" s="1"/>
      <c r="J125" s="1"/>
      <c r="K125" s="1"/>
    </row>
    <row r="126" spans="2:11" x14ac:dyDescent="0.35">
      <c r="B126" s="5" t="s">
        <v>43</v>
      </c>
      <c r="C126" s="5"/>
      <c r="D126" s="5"/>
      <c r="E126" s="6"/>
      <c r="F126" s="54">
        <f>F116/D90</f>
        <v>3.4630777777777774E-2</v>
      </c>
      <c r="G126" s="1"/>
      <c r="H126" s="1"/>
      <c r="I126" s="1"/>
      <c r="J126" s="1"/>
      <c r="K126" s="1"/>
    </row>
    <row r="127" spans="2:11" x14ac:dyDescent="0.35">
      <c r="B127" s="5" t="s">
        <v>44</v>
      </c>
      <c r="C127" s="5"/>
      <c r="D127" s="5"/>
      <c r="E127" s="6"/>
      <c r="F127" s="55">
        <f>(F116/(E86*(D86/D90)+E87*(D87/D90)+E88*(D88/D90)))/D93</f>
        <v>0.17387838214783821</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 allowBlank="1" showInputMessage="1" showErrorMessage="1" sqref="I7:I9 I5 F6:F7 F9:F11 F13:F14">
      <formula1>0</formula1>
    </dataValidation>
    <dataValidation type="whole" operator="greaterThan" allowBlank="1" showInputMessage="1" showErrorMessage="1" sqref="C22:C28 D24:D28 E24 F53:I54 E50:E54 F5 E40:E41 F47:I47 E43:E48 D75:D79 C73:C79">
      <formula1>0</formula1>
    </dataValidation>
    <dataValidation type="whole" allowBlank="1" showInputMessage="1" showErrorMessage="1" sqref="E25:E28">
      <formula1>0</formula1>
      <formula2>1</formula2>
    </dataValidation>
    <dataValidation type="decimal" operator="greaterThanOrEqual" allowBlank="1" showInputMessage="1" showErrorMessage="1" sqref="F15">
      <formula1>0</formula1>
    </dataValidation>
  </dataValidations>
  <pageMargins left="0.75" right="0.75" top="1" bottom="1" header="0.5" footer="0.5"/>
  <pageSetup orientation="portrait" horizontalDpi="4294967292" verticalDpi="429496729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27"/>
  <sheetViews>
    <sheetView topLeftCell="A54" workbookViewId="0">
      <selection activeCell="B72" sqref="B72:I80"/>
    </sheetView>
  </sheetViews>
  <sheetFormatPr defaultColWidth="11" defaultRowHeight="15.5" x14ac:dyDescent="0.35"/>
  <sheetData>
    <row r="3" spans="2:11" ht="16" thickBot="1" x14ac:dyDescent="0.4">
      <c r="B3" s="1"/>
      <c r="C3" s="1"/>
      <c r="D3" s="1"/>
      <c r="E3" s="66"/>
      <c r="F3" s="37"/>
      <c r="G3" s="7"/>
      <c r="H3" s="1"/>
      <c r="I3" s="1"/>
      <c r="J3" s="1"/>
      <c r="K3" s="1"/>
    </row>
    <row r="4" spans="2:11" x14ac:dyDescent="0.35">
      <c r="B4" s="1"/>
      <c r="C4" s="1"/>
      <c r="D4" s="18" t="s">
        <v>51</v>
      </c>
      <c r="E4" s="117"/>
      <c r="F4" s="19" t="s">
        <v>50</v>
      </c>
      <c r="G4" s="1"/>
      <c r="H4" s="18" t="s">
        <v>53</v>
      </c>
      <c r="I4" s="19" t="s">
        <v>54</v>
      </c>
      <c r="J4" s="1"/>
      <c r="K4" s="1"/>
    </row>
    <row r="5" spans="2:11" x14ac:dyDescent="0.35">
      <c r="B5" s="1"/>
      <c r="C5" s="1"/>
      <c r="D5" s="239" t="s">
        <v>73</v>
      </c>
      <c r="E5" s="240"/>
      <c r="F5" s="56">
        <f>Budget!E5</f>
        <v>1000000</v>
      </c>
      <c r="G5" s="1"/>
      <c r="H5" s="22" t="s">
        <v>46</v>
      </c>
      <c r="I5" s="62">
        <f>Budget!H5</f>
        <v>6.0000000000000001E-3</v>
      </c>
      <c r="J5" s="1"/>
      <c r="K5" s="1"/>
    </row>
    <row r="6" spans="2:11" x14ac:dyDescent="0.35">
      <c r="B6" s="1"/>
      <c r="C6" s="1"/>
      <c r="D6" s="247" t="s">
        <v>60</v>
      </c>
      <c r="E6" s="248"/>
      <c r="F6" s="57">
        <f>Budget!E6</f>
        <v>10000</v>
      </c>
      <c r="G6" s="1"/>
      <c r="H6" s="43" t="s">
        <v>47</v>
      </c>
      <c r="I6" s="21">
        <f>Budget!H6</f>
        <v>0</v>
      </c>
      <c r="J6" s="1"/>
      <c r="K6" s="1"/>
    </row>
    <row r="7" spans="2:11" x14ac:dyDescent="0.35">
      <c r="B7" s="1"/>
      <c r="C7" s="1"/>
      <c r="D7" s="239" t="s">
        <v>55</v>
      </c>
      <c r="E7" s="240"/>
      <c r="F7" s="82">
        <f>Budget!E7</f>
        <v>1150</v>
      </c>
      <c r="G7" s="1"/>
      <c r="H7" s="20" t="s">
        <v>67</v>
      </c>
      <c r="I7" s="45">
        <f>'Cash Cost Sensitivities (2)'!A16</f>
        <v>0.12</v>
      </c>
      <c r="J7" s="1"/>
      <c r="K7" s="1"/>
    </row>
    <row r="8" spans="2:11" x14ac:dyDescent="0.35">
      <c r="B8" s="1"/>
      <c r="C8" s="1"/>
      <c r="D8" s="239" t="s">
        <v>56</v>
      </c>
      <c r="E8" s="240"/>
      <c r="F8" s="59"/>
      <c r="G8" s="1"/>
      <c r="H8" s="20" t="s">
        <v>62</v>
      </c>
      <c r="I8" s="45">
        <f>'Cash Cost Sensitivities (2)'!B16</f>
        <v>0.1</v>
      </c>
      <c r="J8" s="1"/>
      <c r="K8" s="1"/>
    </row>
    <row r="9" spans="2:11" ht="16" thickBot="1" x14ac:dyDescent="0.4">
      <c r="B9" s="1"/>
      <c r="C9" s="1"/>
      <c r="D9" s="237" t="s">
        <v>57</v>
      </c>
      <c r="E9" s="238"/>
      <c r="F9" s="60">
        <f>Budget!E9</f>
        <v>0.75</v>
      </c>
      <c r="G9" s="1"/>
      <c r="H9" s="44" t="s">
        <v>63</v>
      </c>
      <c r="I9" s="46">
        <f>'Cash Cost Sensitivities (2)'!C16</f>
        <v>0.06</v>
      </c>
      <c r="J9" s="1"/>
      <c r="K9" s="1"/>
    </row>
    <row r="10" spans="2:11" x14ac:dyDescent="0.35">
      <c r="B10" s="1"/>
      <c r="C10" s="1"/>
      <c r="D10" s="237" t="s">
        <v>58</v>
      </c>
      <c r="E10" s="238"/>
      <c r="F10" s="60">
        <f>Budget!E10</f>
        <v>0.8</v>
      </c>
      <c r="G10" s="1"/>
      <c r="H10" s="17"/>
      <c r="I10" s="1"/>
      <c r="J10" s="1"/>
      <c r="K10" s="1"/>
    </row>
    <row r="11" spans="2:11" x14ac:dyDescent="0.35">
      <c r="B11" s="1"/>
      <c r="C11" s="1"/>
      <c r="D11" s="237" t="s">
        <v>59</v>
      </c>
      <c r="E11" s="238"/>
      <c r="F11" s="132">
        <f>F9*F10</f>
        <v>0.60000000000000009</v>
      </c>
      <c r="G11" s="1"/>
      <c r="H11" s="138"/>
      <c r="I11" s="139"/>
      <c r="J11" s="1"/>
      <c r="K11" s="1"/>
    </row>
    <row r="12" spans="2:11" x14ac:dyDescent="0.35">
      <c r="B12" s="1"/>
      <c r="C12" s="1"/>
      <c r="D12" s="239" t="s">
        <v>52</v>
      </c>
      <c r="E12" s="240"/>
      <c r="F12" s="241"/>
      <c r="G12" s="1"/>
      <c r="H12" s="1"/>
      <c r="I12" s="1"/>
      <c r="J12" s="1"/>
      <c r="K12" s="1"/>
    </row>
    <row r="13" spans="2:11" x14ac:dyDescent="0.35">
      <c r="B13" s="1"/>
      <c r="C13" s="1"/>
      <c r="D13" s="237" t="s">
        <v>61</v>
      </c>
      <c r="E13" s="238"/>
      <c r="F13" s="60">
        <f>Budget!E13</f>
        <v>0.7</v>
      </c>
      <c r="G13" s="1"/>
      <c r="H13" s="1"/>
      <c r="I13" s="1"/>
      <c r="J13" s="1"/>
      <c r="K13" s="1"/>
    </row>
    <row r="14" spans="2:11" x14ac:dyDescent="0.35">
      <c r="B14" s="1"/>
      <c r="C14" s="1"/>
      <c r="D14" s="237" t="s">
        <v>62</v>
      </c>
      <c r="E14" s="238"/>
      <c r="F14" s="60">
        <f>Budget!E14</f>
        <v>0.2</v>
      </c>
      <c r="G14" s="1"/>
      <c r="H14" s="1"/>
      <c r="I14" s="1"/>
      <c r="J14" s="1"/>
      <c r="K14" s="1"/>
    </row>
    <row r="15" spans="2:11" x14ac:dyDescent="0.35">
      <c r="B15" s="1"/>
      <c r="C15" s="1"/>
      <c r="D15" s="237" t="s">
        <v>63</v>
      </c>
      <c r="E15" s="238"/>
      <c r="F15" s="105">
        <f>Budget!E15</f>
        <v>0.1</v>
      </c>
      <c r="G15" s="1"/>
      <c r="H15" s="1"/>
      <c r="I15" s="1"/>
      <c r="J15" s="1"/>
      <c r="K15" s="1"/>
    </row>
    <row r="16" spans="2:11" x14ac:dyDescent="0.35">
      <c r="B16" s="7"/>
      <c r="C16" s="7"/>
      <c r="D16" s="242" t="s">
        <v>103</v>
      </c>
      <c r="E16" s="243"/>
      <c r="F16" s="103"/>
      <c r="G16" s="1"/>
      <c r="H16" s="1"/>
      <c r="I16" s="1"/>
      <c r="J16" s="1"/>
      <c r="K16" s="1"/>
    </row>
    <row r="17" spans="2:11" x14ac:dyDescent="0.35">
      <c r="B17" s="1"/>
      <c r="C17" s="1"/>
      <c r="D17" s="250" t="s">
        <v>57</v>
      </c>
      <c r="E17" s="251"/>
      <c r="F17" s="106">
        <f>ROUND(F5/F6,0)</f>
        <v>100</v>
      </c>
      <c r="G17" s="1"/>
      <c r="H17" s="1"/>
      <c r="I17" s="1"/>
      <c r="J17" s="1"/>
      <c r="K17" s="1"/>
    </row>
    <row r="18" spans="2:11" ht="16" thickBot="1" x14ac:dyDescent="0.4">
      <c r="B18" s="2"/>
      <c r="C18" s="2"/>
      <c r="D18" s="252" t="s">
        <v>102</v>
      </c>
      <c r="E18" s="253"/>
      <c r="F18" s="104">
        <f>ROUND(F5*F9/F7,0)</f>
        <v>652</v>
      </c>
      <c r="G18" s="1"/>
      <c r="H18" s="1"/>
      <c r="I18" s="1"/>
      <c r="J18" s="1"/>
      <c r="K18" s="1"/>
    </row>
    <row r="19" spans="2:11" x14ac:dyDescent="0.35">
      <c r="B19" s="2"/>
      <c r="C19" s="2"/>
      <c r="D19" s="2"/>
      <c r="E19" s="14"/>
      <c r="F19" s="2"/>
      <c r="G19" s="1"/>
      <c r="H19" s="1"/>
      <c r="I19" s="1"/>
      <c r="J19" s="1"/>
      <c r="K19" s="1"/>
    </row>
    <row r="20" spans="2:11" ht="18.5" x14ac:dyDescent="0.45">
      <c r="B20" s="236" t="s">
        <v>12</v>
      </c>
      <c r="C20" s="236"/>
      <c r="D20" s="236"/>
      <c r="E20" s="236"/>
      <c r="F20" s="236"/>
      <c r="G20" s="236"/>
      <c r="H20" s="236"/>
      <c r="I20" s="236"/>
      <c r="J20" s="236"/>
      <c r="K20" s="236"/>
    </row>
    <row r="21" spans="2:11" ht="16" thickBot="1" x14ac:dyDescent="0.4">
      <c r="B21" s="23" t="s">
        <v>0</v>
      </c>
      <c r="C21" s="34" t="s">
        <v>1</v>
      </c>
      <c r="D21" s="33" t="s">
        <v>2</v>
      </c>
      <c r="E21" s="33" t="s">
        <v>72</v>
      </c>
      <c r="F21" s="33" t="s">
        <v>117</v>
      </c>
      <c r="G21" s="33" t="s">
        <v>3</v>
      </c>
      <c r="H21" s="33" t="s">
        <v>4</v>
      </c>
      <c r="I21" s="33" t="s">
        <v>5</v>
      </c>
      <c r="J21" s="33" t="s">
        <v>6</v>
      </c>
      <c r="K21" s="33" t="s">
        <v>7</v>
      </c>
    </row>
    <row r="22" spans="2:11" x14ac:dyDescent="0.35">
      <c r="B22" s="25" t="s">
        <v>8</v>
      </c>
      <c r="C22" s="68">
        <f>Budget!B22</f>
        <v>7</v>
      </c>
      <c r="D22" s="140">
        <f>Budget!C22</f>
        <v>4</v>
      </c>
      <c r="E22" s="146">
        <f>Budget!D22</f>
        <v>25</v>
      </c>
      <c r="F22" s="149">
        <f>Budget!E22</f>
        <v>175</v>
      </c>
      <c r="G22" s="149">
        <f>Budget!F22</f>
        <v>175</v>
      </c>
      <c r="H22" s="149">
        <f>Budget!G22</f>
        <v>180</v>
      </c>
      <c r="I22" s="149">
        <f>Budget!H22</f>
        <v>186</v>
      </c>
      <c r="J22" s="149">
        <f>Budget!I22</f>
        <v>191</v>
      </c>
      <c r="K22" s="149">
        <f>Budget!J22</f>
        <v>197</v>
      </c>
    </row>
    <row r="23" spans="2:11" x14ac:dyDescent="0.35">
      <c r="B23" s="16" t="s">
        <v>9</v>
      </c>
      <c r="C23" s="67">
        <f>Budget!B23</f>
        <v>6.2</v>
      </c>
      <c r="D23" s="141">
        <f>Budget!C23</f>
        <v>10</v>
      </c>
      <c r="E23" s="181">
        <f>Budget!D23</f>
        <v>65</v>
      </c>
      <c r="F23" s="150">
        <f>Budget!E23</f>
        <v>404</v>
      </c>
      <c r="G23" s="150">
        <f>Budget!F23</f>
        <v>403</v>
      </c>
      <c r="H23" s="150">
        <f>Budget!G23</f>
        <v>415</v>
      </c>
      <c r="I23" s="150">
        <f>Budget!H23</f>
        <v>428</v>
      </c>
      <c r="J23" s="150">
        <f>Budget!I23</f>
        <v>440</v>
      </c>
      <c r="K23" s="150">
        <f>Budget!J23</f>
        <v>454</v>
      </c>
    </row>
    <row r="24" spans="2:11" x14ac:dyDescent="0.35">
      <c r="B24" s="16" t="s">
        <v>10</v>
      </c>
      <c r="C24" s="67">
        <f>Budget!B24</f>
        <v>250</v>
      </c>
      <c r="D24" s="141">
        <f>Budget!C24</f>
        <v>3</v>
      </c>
      <c r="E24" s="182">
        <f>Budget!D24</f>
        <v>1</v>
      </c>
      <c r="F24" s="151">
        <f>Budget!E24</f>
        <v>0</v>
      </c>
      <c r="G24" s="150">
        <f>Budget!F24</f>
        <v>250</v>
      </c>
      <c r="H24" s="150">
        <f>Budget!G24</f>
        <v>0</v>
      </c>
      <c r="I24" s="150">
        <f>Budget!H24</f>
        <v>0</v>
      </c>
      <c r="J24" s="150">
        <f>Budget!I24</f>
        <v>273</v>
      </c>
      <c r="K24" s="150">
        <f>Budget!J24</f>
        <v>0</v>
      </c>
    </row>
    <row r="25" spans="2:11" x14ac:dyDescent="0.35">
      <c r="B25" s="16" t="s">
        <v>11</v>
      </c>
      <c r="C25" s="67">
        <f>Budget!B25</f>
        <v>18000</v>
      </c>
      <c r="D25" s="141">
        <f>Budget!C25</f>
        <v>7</v>
      </c>
      <c r="E25" s="141">
        <f>Budget!D25</f>
        <v>0</v>
      </c>
      <c r="F25" s="152">
        <f>Budget!E25</f>
        <v>0</v>
      </c>
      <c r="G25" s="150">
        <f>Budget!F25</f>
        <v>0</v>
      </c>
      <c r="H25" s="150">
        <f>Budget!G25</f>
        <v>0</v>
      </c>
      <c r="I25" s="150">
        <f>Budget!H25</f>
        <v>0</v>
      </c>
      <c r="J25" s="150">
        <f>Budget!I25</f>
        <v>0</v>
      </c>
      <c r="K25" s="150">
        <f>Budget!J25</f>
        <v>0</v>
      </c>
    </row>
    <row r="26" spans="2:11" x14ac:dyDescent="0.35">
      <c r="B26" s="16" t="s">
        <v>69</v>
      </c>
      <c r="C26" s="67">
        <f>Budget!B26</f>
        <v>28000</v>
      </c>
      <c r="D26" s="141">
        <f>Budget!C26</f>
        <v>10</v>
      </c>
      <c r="E26" s="141">
        <f>Budget!D26</f>
        <v>0</v>
      </c>
      <c r="F26" s="152">
        <f>Budget!E26</f>
        <v>0</v>
      </c>
      <c r="G26" s="150">
        <f>Budget!F26</f>
        <v>0</v>
      </c>
      <c r="H26" s="150">
        <f>Budget!G26</f>
        <v>0</v>
      </c>
      <c r="I26" s="150">
        <f>Budget!H26</f>
        <v>0</v>
      </c>
      <c r="J26" s="150">
        <f>Budget!I26</f>
        <v>0</v>
      </c>
      <c r="K26" s="150">
        <f>Budget!J26</f>
        <v>0</v>
      </c>
    </row>
    <row r="27" spans="2:11" x14ac:dyDescent="0.35">
      <c r="B27" s="16" t="s">
        <v>70</v>
      </c>
      <c r="C27" s="67">
        <f>Budget!B27</f>
        <v>10000</v>
      </c>
      <c r="D27" s="141">
        <f>Budget!C27</f>
        <v>3</v>
      </c>
      <c r="E27" s="141">
        <f>Budget!D27</f>
        <v>0</v>
      </c>
      <c r="F27" s="152">
        <f>Budget!E27</f>
        <v>0</v>
      </c>
      <c r="G27" s="150">
        <f>Budget!F27</f>
        <v>0</v>
      </c>
      <c r="H27" s="150">
        <f>Budget!G27</f>
        <v>0</v>
      </c>
      <c r="I27" s="150">
        <f>Budget!H27</f>
        <v>0</v>
      </c>
      <c r="J27" s="150">
        <f>Budget!I27</f>
        <v>0</v>
      </c>
      <c r="K27" s="150">
        <f>Budget!J27</f>
        <v>0</v>
      </c>
    </row>
    <row r="28" spans="2:11" ht="44" thickBot="1" x14ac:dyDescent="0.4">
      <c r="B28" s="98" t="s">
        <v>71</v>
      </c>
      <c r="C28" s="69">
        <f>Budget!B28</f>
        <v>1000</v>
      </c>
      <c r="D28" s="142">
        <f>Budget!C28</f>
        <v>5</v>
      </c>
      <c r="E28" s="142">
        <f>Budget!D28</f>
        <v>1</v>
      </c>
      <c r="F28" s="153">
        <f>Budget!E28</f>
        <v>0</v>
      </c>
      <c r="G28" s="154">
        <f>Budget!F28</f>
        <v>1000</v>
      </c>
      <c r="H28" s="154">
        <f>Budget!G28</f>
        <v>0</v>
      </c>
      <c r="I28" s="154">
        <f>Budget!H28</f>
        <v>0</v>
      </c>
      <c r="J28" s="154">
        <f>Budget!I28</f>
        <v>0</v>
      </c>
      <c r="K28" s="154">
        <f>Budget!J28</f>
        <v>0</v>
      </c>
    </row>
    <row r="29" spans="2:11" x14ac:dyDescent="0.35">
      <c r="B29" s="5" t="s">
        <v>45</v>
      </c>
      <c r="C29" s="6"/>
      <c r="D29" s="7"/>
      <c r="E29" s="7"/>
      <c r="F29" s="15"/>
      <c r="G29" s="15">
        <f>SUM(G22:G28)</f>
        <v>1828</v>
      </c>
      <c r="H29" s="15">
        <f>SUM(H22:H28)</f>
        <v>595</v>
      </c>
      <c r="I29" s="15">
        <f>SUM(I22:I28)</f>
        <v>614</v>
      </c>
      <c r="J29" s="15">
        <f>SUM(J22:J28)</f>
        <v>904</v>
      </c>
      <c r="K29" s="15">
        <f>SUM(K22:K28)</f>
        <v>651</v>
      </c>
    </row>
    <row r="30" spans="2:11" x14ac:dyDescent="0.35">
      <c r="B30" s="1"/>
      <c r="C30" s="1"/>
      <c r="D30" s="1"/>
      <c r="E30" s="4"/>
      <c r="F30" s="1"/>
      <c r="G30" s="1"/>
      <c r="H30" s="1"/>
      <c r="I30" s="1"/>
      <c r="J30" s="1"/>
      <c r="K30" s="1"/>
    </row>
    <row r="31" spans="2:11" x14ac:dyDescent="0.35">
      <c r="B31" s="107"/>
      <c r="C31" s="107"/>
      <c r="D31" s="107"/>
      <c r="E31" s="4"/>
      <c r="F31" s="1"/>
      <c r="G31" s="1"/>
      <c r="H31" s="1"/>
      <c r="I31" s="1"/>
      <c r="J31" s="1"/>
      <c r="K31" s="1"/>
    </row>
    <row r="32" spans="2:11" x14ac:dyDescent="0.35">
      <c r="B32" s="107"/>
      <c r="C32" s="107"/>
      <c r="D32" s="107"/>
      <c r="E32" s="4"/>
      <c r="F32" s="1"/>
      <c r="G32" s="1"/>
      <c r="H32" s="1"/>
      <c r="I32" s="1"/>
      <c r="J32" s="1"/>
      <c r="K32" s="1"/>
    </row>
    <row r="33" spans="2:11" x14ac:dyDescent="0.35">
      <c r="B33" s="107"/>
      <c r="C33" s="107"/>
      <c r="D33" s="107"/>
      <c r="E33" s="4"/>
      <c r="F33" s="1"/>
      <c r="G33" s="1"/>
      <c r="H33" s="1"/>
      <c r="I33" s="1"/>
      <c r="J33" s="1"/>
      <c r="K33" s="1"/>
    </row>
    <row r="34" spans="2:11" x14ac:dyDescent="0.35">
      <c r="B34" s="107"/>
      <c r="C34" s="107"/>
      <c r="D34" s="107"/>
      <c r="E34" s="4"/>
      <c r="F34" s="1"/>
      <c r="G34" s="1"/>
      <c r="H34" s="1"/>
      <c r="I34" s="1"/>
      <c r="J34" s="1"/>
      <c r="K34" s="1"/>
    </row>
    <row r="35" spans="2:11" x14ac:dyDescent="0.35">
      <c r="B35" s="107"/>
      <c r="C35" s="107"/>
      <c r="D35" s="107"/>
      <c r="E35" s="4"/>
      <c r="F35" s="1"/>
      <c r="G35" s="1"/>
      <c r="H35" s="1"/>
      <c r="I35" s="1"/>
      <c r="J35" s="1"/>
      <c r="K35" s="1"/>
    </row>
    <row r="36" spans="2:11" x14ac:dyDescent="0.35">
      <c r="B36" s="107"/>
      <c r="C36" s="107"/>
      <c r="D36" s="107"/>
      <c r="E36" s="4"/>
      <c r="F36" s="1"/>
      <c r="G36" s="1"/>
      <c r="H36" s="1"/>
      <c r="I36" s="1"/>
      <c r="J36" s="1"/>
      <c r="K36" s="1"/>
    </row>
    <row r="37" spans="2:11" ht="18.5" x14ac:dyDescent="0.45">
      <c r="B37" s="236" t="s">
        <v>14</v>
      </c>
      <c r="C37" s="236"/>
      <c r="D37" s="236"/>
      <c r="E37" s="236"/>
      <c r="F37" s="236"/>
      <c r="G37" s="236"/>
      <c r="H37" s="236"/>
      <c r="I37" s="236"/>
      <c r="J37" s="1"/>
      <c r="K37" s="1"/>
    </row>
    <row r="38" spans="2:11" ht="44" thickBot="1" x14ac:dyDescent="0.4">
      <c r="B38" s="33" t="s">
        <v>13</v>
      </c>
      <c r="C38" s="23" t="s">
        <v>107</v>
      </c>
      <c r="D38" s="122" t="s">
        <v>110</v>
      </c>
      <c r="E38" s="34" t="s">
        <v>3</v>
      </c>
      <c r="F38" s="33" t="s">
        <v>4</v>
      </c>
      <c r="G38" s="33" t="s">
        <v>5</v>
      </c>
      <c r="H38" s="33" t="s">
        <v>6</v>
      </c>
      <c r="I38" s="33" t="s">
        <v>7</v>
      </c>
      <c r="J38" s="1"/>
      <c r="K38" s="1"/>
    </row>
    <row r="39" spans="2:11" x14ac:dyDescent="0.35">
      <c r="B39" s="41" t="s">
        <v>14</v>
      </c>
      <c r="C39" s="1"/>
      <c r="D39" s="1"/>
      <c r="E39" s="32"/>
      <c r="F39" s="9"/>
      <c r="G39" s="9"/>
      <c r="H39" s="9"/>
      <c r="I39" s="102"/>
      <c r="J39" s="1"/>
      <c r="K39" s="1"/>
    </row>
    <row r="40" spans="2:11" x14ac:dyDescent="0.35">
      <c r="B40" s="25" t="s">
        <v>15</v>
      </c>
      <c r="C40" s="115">
        <f>F5</f>
        <v>1000000</v>
      </c>
      <c r="D40" s="118">
        <f>I5</f>
        <v>6.0000000000000001E-3</v>
      </c>
      <c r="E40" s="119">
        <f>C40*D40</f>
        <v>6000</v>
      </c>
      <c r="F40" s="30">
        <v>6000</v>
      </c>
      <c r="G40" s="30">
        <v>6000</v>
      </c>
      <c r="H40" s="30">
        <v>6000</v>
      </c>
      <c r="I40" s="30">
        <v>6000</v>
      </c>
      <c r="J40" s="12"/>
      <c r="K40" s="12"/>
    </row>
    <row r="41" spans="2:11" x14ac:dyDescent="0.35">
      <c r="B41" s="16" t="s">
        <v>108</v>
      </c>
      <c r="C41" s="116">
        <f>F17+F18</f>
        <v>752</v>
      </c>
      <c r="D41" s="67">
        <f>Budget!C35</f>
        <v>2</v>
      </c>
      <c r="E41" s="125">
        <f>C41*D41</f>
        <v>1504</v>
      </c>
      <c r="F41" s="29">
        <f>ROUND(E41+E41*0.03,0)</f>
        <v>1549</v>
      </c>
      <c r="G41" s="29">
        <f>ROUND(F41+F41*0.03,0)</f>
        <v>1595</v>
      </c>
      <c r="H41" s="29">
        <f t="shared" ref="H41:I52" si="0">ROUND(G41+G41*0.03,0)</f>
        <v>1643</v>
      </c>
      <c r="I41" s="29">
        <f t="shared" si="0"/>
        <v>1692</v>
      </c>
      <c r="J41" s="1"/>
      <c r="K41" s="1"/>
    </row>
    <row r="42" spans="2:11" x14ac:dyDescent="0.35">
      <c r="B42" s="16" t="s">
        <v>16</v>
      </c>
      <c r="C42" s="131">
        <f>Budget!B36</f>
        <v>205</v>
      </c>
      <c r="D42" s="67">
        <f>Budget!C36</f>
        <v>3.5</v>
      </c>
      <c r="E42" s="125">
        <f>C42*D42</f>
        <v>717.5</v>
      </c>
      <c r="F42" s="29">
        <f t="shared" ref="F42:G48" si="1">ROUND(E42+E42*0.03,0)</f>
        <v>739</v>
      </c>
      <c r="G42" s="29">
        <f t="shared" si="1"/>
        <v>761</v>
      </c>
      <c r="H42" s="29">
        <f t="shared" si="0"/>
        <v>784</v>
      </c>
      <c r="I42" s="29">
        <f t="shared" si="0"/>
        <v>808</v>
      </c>
      <c r="J42" s="1"/>
      <c r="K42" s="1"/>
    </row>
    <row r="43" spans="2:11" x14ac:dyDescent="0.35">
      <c r="B43" s="16" t="s">
        <v>17</v>
      </c>
      <c r="C43" s="131">
        <f>Budget!B37</f>
        <v>205</v>
      </c>
      <c r="D43" s="67">
        <f>Budget!C37</f>
        <v>3.5</v>
      </c>
      <c r="E43" s="125">
        <f>C43*D43</f>
        <v>717.5</v>
      </c>
      <c r="F43" s="29">
        <f t="shared" si="1"/>
        <v>739</v>
      </c>
      <c r="G43" s="29">
        <f t="shared" si="1"/>
        <v>761</v>
      </c>
      <c r="H43" s="29">
        <f t="shared" si="0"/>
        <v>784</v>
      </c>
      <c r="I43" s="29">
        <f t="shared" si="0"/>
        <v>808</v>
      </c>
      <c r="J43" s="1"/>
      <c r="K43" s="1"/>
    </row>
    <row r="44" spans="2:11" x14ac:dyDescent="0.35">
      <c r="B44" s="16" t="s">
        <v>18</v>
      </c>
      <c r="C44" s="164">
        <f>Budget!B38</f>
        <v>1</v>
      </c>
      <c r="D44" s="67">
        <f>Budget!C38</f>
        <v>100</v>
      </c>
      <c r="E44" s="125">
        <f>C44*D44</f>
        <v>100</v>
      </c>
      <c r="F44" s="29">
        <f t="shared" si="1"/>
        <v>103</v>
      </c>
      <c r="G44" s="29">
        <f t="shared" si="1"/>
        <v>106</v>
      </c>
      <c r="H44" s="29">
        <f t="shared" si="0"/>
        <v>109</v>
      </c>
      <c r="I44" s="29">
        <f t="shared" si="0"/>
        <v>112</v>
      </c>
      <c r="J44" s="1"/>
      <c r="K44" s="1"/>
    </row>
    <row r="45" spans="2:11" x14ac:dyDescent="0.35">
      <c r="B45" s="16" t="s">
        <v>77</v>
      </c>
      <c r="C45" s="121"/>
      <c r="D45" s="67">
        <f>Budget!C39</f>
        <v>2800</v>
      </c>
      <c r="E45" s="125">
        <f>D45</f>
        <v>2800</v>
      </c>
      <c r="F45" s="29">
        <f t="shared" si="1"/>
        <v>2884</v>
      </c>
      <c r="G45" s="29">
        <f t="shared" si="1"/>
        <v>2971</v>
      </c>
      <c r="H45" s="29">
        <f t="shared" si="0"/>
        <v>3060</v>
      </c>
      <c r="I45" s="29">
        <f t="shared" si="0"/>
        <v>3152</v>
      </c>
      <c r="J45" s="1"/>
      <c r="K45" s="1"/>
    </row>
    <row r="46" spans="2:11" x14ac:dyDescent="0.35">
      <c r="B46" s="16" t="s">
        <v>78</v>
      </c>
      <c r="C46" s="120">
        <f>ROUND(0.75*F17+0.9*F18,0)</f>
        <v>662</v>
      </c>
      <c r="D46" s="67">
        <f>Budget!C40</f>
        <v>1.25</v>
      </c>
      <c r="E46" s="125">
        <f>C46*D46</f>
        <v>827.5</v>
      </c>
      <c r="F46" s="29">
        <f t="shared" si="1"/>
        <v>852</v>
      </c>
      <c r="G46" s="29">
        <f t="shared" si="1"/>
        <v>878</v>
      </c>
      <c r="H46" s="29">
        <f t="shared" si="0"/>
        <v>904</v>
      </c>
      <c r="I46" s="29">
        <f t="shared" si="0"/>
        <v>931</v>
      </c>
      <c r="J46" s="1"/>
      <c r="K46" s="1"/>
    </row>
    <row r="47" spans="2:11" x14ac:dyDescent="0.35">
      <c r="B47" s="16" t="s">
        <v>111</v>
      </c>
      <c r="C47" s="120"/>
      <c r="D47" s="67">
        <f>Budget!C41</f>
        <v>4400</v>
      </c>
      <c r="E47" s="125">
        <f>D47</f>
        <v>4400</v>
      </c>
      <c r="F47" s="119">
        <f t="shared" si="1"/>
        <v>4532</v>
      </c>
      <c r="G47" s="119">
        <f t="shared" si="1"/>
        <v>4668</v>
      </c>
      <c r="H47" s="119">
        <f t="shared" si="0"/>
        <v>4808</v>
      </c>
      <c r="I47" s="119">
        <f t="shared" si="0"/>
        <v>4952</v>
      </c>
      <c r="J47" s="1"/>
      <c r="K47" s="1"/>
    </row>
    <row r="48" spans="2:11" x14ac:dyDescent="0.35">
      <c r="B48" s="16" t="s">
        <v>66</v>
      </c>
      <c r="C48" s="120"/>
      <c r="D48" s="67">
        <f>Budget!C42</f>
        <v>250</v>
      </c>
      <c r="E48" s="125">
        <f>D48</f>
        <v>250</v>
      </c>
      <c r="F48" s="29">
        <f t="shared" si="1"/>
        <v>258</v>
      </c>
      <c r="G48" s="29">
        <f t="shared" si="1"/>
        <v>266</v>
      </c>
      <c r="H48" s="29">
        <f t="shared" si="0"/>
        <v>274</v>
      </c>
      <c r="I48" s="29">
        <f t="shared" si="0"/>
        <v>282</v>
      </c>
      <c r="J48" s="1"/>
      <c r="K48" s="1"/>
    </row>
    <row r="49" spans="2:11" x14ac:dyDescent="0.35">
      <c r="B49" s="42" t="s">
        <v>68</v>
      </c>
      <c r="C49" s="114"/>
      <c r="D49" s="114"/>
      <c r="E49" s="126"/>
      <c r="F49" s="35"/>
      <c r="G49" s="35"/>
      <c r="H49" s="35"/>
      <c r="I49" s="36"/>
      <c r="J49" s="12"/>
      <c r="K49" s="12"/>
    </row>
    <row r="50" spans="2:11" x14ac:dyDescent="0.35">
      <c r="B50" s="16" t="s">
        <v>48</v>
      </c>
      <c r="C50" s="47">
        <f>Budget!B44</f>
        <v>1</v>
      </c>
      <c r="D50" s="47">
        <f>Budget!C44</f>
        <v>750</v>
      </c>
      <c r="E50" s="127">
        <v>750</v>
      </c>
      <c r="F50" s="29">
        <f>ROUND(E50+E50*0.03,0)</f>
        <v>773</v>
      </c>
      <c r="G50" s="29">
        <f>ROUND(F50+F50*0.03,0)</f>
        <v>796</v>
      </c>
      <c r="H50" s="29">
        <f t="shared" si="0"/>
        <v>820</v>
      </c>
      <c r="I50" s="29">
        <f t="shared" si="0"/>
        <v>845</v>
      </c>
      <c r="J50" s="1"/>
      <c r="K50" s="1"/>
    </row>
    <row r="51" spans="2:11" x14ac:dyDescent="0.35">
      <c r="B51" s="16" t="s">
        <v>49</v>
      </c>
      <c r="C51" s="47">
        <f>Budget!B45</f>
        <v>1</v>
      </c>
      <c r="D51" s="47">
        <f>Budget!C45</f>
        <v>250</v>
      </c>
      <c r="E51" s="127">
        <v>250</v>
      </c>
      <c r="F51" s="29">
        <v>250</v>
      </c>
      <c r="G51" s="29">
        <v>250</v>
      </c>
      <c r="H51" s="29">
        <v>250</v>
      </c>
      <c r="I51" s="29">
        <v>250</v>
      </c>
      <c r="J51" s="1"/>
      <c r="K51" s="1"/>
    </row>
    <row r="52" spans="2:11" x14ac:dyDescent="0.35">
      <c r="B52" s="16" t="s">
        <v>20</v>
      </c>
      <c r="C52" s="47">
        <f>Budget!B46</f>
        <v>1</v>
      </c>
      <c r="D52" s="47">
        <f>Budget!C46</f>
        <v>500</v>
      </c>
      <c r="E52" s="127">
        <v>500</v>
      </c>
      <c r="F52" s="29">
        <f>ROUND(E52+E52*0.03,0)</f>
        <v>515</v>
      </c>
      <c r="G52" s="29">
        <f>ROUND(F52+F52*0.03,0)</f>
        <v>530</v>
      </c>
      <c r="H52" s="29">
        <f t="shared" si="0"/>
        <v>546</v>
      </c>
      <c r="I52" s="29">
        <f t="shared" si="0"/>
        <v>562</v>
      </c>
      <c r="J52" s="1"/>
      <c r="K52" s="1"/>
    </row>
    <row r="53" spans="2:11" x14ac:dyDescent="0.35">
      <c r="B53" s="108" t="s">
        <v>104</v>
      </c>
      <c r="C53" s="130">
        <f>Budget!B47</f>
        <v>1</v>
      </c>
      <c r="D53" s="130">
        <f>Budget!C47</f>
        <v>27</v>
      </c>
      <c r="E53" s="128">
        <v>27</v>
      </c>
      <c r="F53" s="109">
        <v>27</v>
      </c>
      <c r="G53" s="109">
        <v>27</v>
      </c>
      <c r="H53" s="109">
        <v>27</v>
      </c>
      <c r="I53" s="109">
        <v>27</v>
      </c>
      <c r="J53" s="1"/>
      <c r="K53" s="1"/>
    </row>
    <row r="54" spans="2:11" ht="16" thickBot="1" x14ac:dyDescent="0.4">
      <c r="B54" s="27" t="s">
        <v>21</v>
      </c>
      <c r="C54" s="48">
        <f>Budget!B48</f>
        <v>1</v>
      </c>
      <c r="D54" s="48">
        <f>Budget!C48</f>
        <v>100</v>
      </c>
      <c r="E54" s="129">
        <v>100</v>
      </c>
      <c r="F54" s="110">
        <v>100</v>
      </c>
      <c r="G54" s="110">
        <v>100</v>
      </c>
      <c r="H54" s="110">
        <v>100</v>
      </c>
      <c r="I54" s="110">
        <v>100</v>
      </c>
      <c r="J54" s="1"/>
      <c r="K54" s="1"/>
    </row>
    <row r="55" spans="2:11" x14ac:dyDescent="0.35">
      <c r="B55" s="3" t="s">
        <v>22</v>
      </c>
      <c r="C55" s="3"/>
      <c r="D55" s="3"/>
      <c r="E55" s="10">
        <f>SUM(E40:E54)</f>
        <v>18943.5</v>
      </c>
      <c r="F55" s="10">
        <f>SUM(F40:F54)</f>
        <v>19321</v>
      </c>
      <c r="G55" s="10">
        <f>SUM(G40:G54)</f>
        <v>19709</v>
      </c>
      <c r="H55" s="10">
        <f>SUM(H40:H54)</f>
        <v>20109</v>
      </c>
      <c r="I55" s="10">
        <f>SUM(I40:I54)</f>
        <v>20521</v>
      </c>
      <c r="J55" s="1"/>
      <c r="K55" s="1"/>
    </row>
    <row r="56" spans="2:11" x14ac:dyDescent="0.35">
      <c r="B56" s="3"/>
      <c r="C56" s="3"/>
      <c r="D56" s="3"/>
      <c r="E56" s="10"/>
      <c r="F56" s="10"/>
      <c r="G56" s="10"/>
      <c r="H56" s="10"/>
      <c r="I56" s="10"/>
      <c r="J56" s="1"/>
      <c r="K56" s="1"/>
    </row>
    <row r="57" spans="2:11" x14ac:dyDescent="0.35">
      <c r="B57" s="3"/>
      <c r="C57" s="3"/>
      <c r="D57" s="3"/>
      <c r="E57" s="10"/>
      <c r="F57" s="10"/>
      <c r="G57" s="10"/>
      <c r="H57" s="10"/>
      <c r="I57" s="10"/>
      <c r="J57" s="1"/>
      <c r="K57" s="1"/>
    </row>
    <row r="58" spans="2:11" x14ac:dyDescent="0.35">
      <c r="B58" s="1"/>
      <c r="C58" s="1"/>
      <c r="D58" s="1"/>
      <c r="E58" s="8"/>
      <c r="F58" s="8"/>
      <c r="G58" s="8"/>
      <c r="H58" s="8"/>
      <c r="I58" s="8"/>
      <c r="J58" s="1"/>
      <c r="K58" s="1"/>
    </row>
    <row r="59" spans="2:11" ht="18.5" x14ac:dyDescent="0.45">
      <c r="B59" s="236" t="s">
        <v>76</v>
      </c>
      <c r="C59" s="236"/>
      <c r="D59" s="236"/>
      <c r="E59" s="236"/>
      <c r="F59" s="236"/>
      <c r="G59" s="236"/>
      <c r="H59" s="236"/>
      <c r="I59" s="236"/>
      <c r="J59" s="1"/>
      <c r="K59" s="1"/>
    </row>
    <row r="60" spans="2:11" ht="16" thickBot="1" x14ac:dyDescent="0.4">
      <c r="B60" s="37"/>
      <c r="C60" s="34" t="s">
        <v>3</v>
      </c>
      <c r="D60" s="33" t="s">
        <v>4</v>
      </c>
      <c r="E60" s="33" t="s">
        <v>5</v>
      </c>
      <c r="F60" s="33" t="s">
        <v>6</v>
      </c>
      <c r="G60" s="33" t="s">
        <v>7</v>
      </c>
      <c r="H60" s="1"/>
      <c r="I60" s="1"/>
      <c r="J60" s="1"/>
      <c r="K60" s="1"/>
    </row>
    <row r="61" spans="2:11" x14ac:dyDescent="0.35">
      <c r="B61" s="25" t="s">
        <v>23</v>
      </c>
      <c r="C61" s="155">
        <f>Budget!$B$56</f>
        <v>0</v>
      </c>
      <c r="D61" s="39">
        <f>C68</f>
        <v>45228.500000000015</v>
      </c>
      <c r="E61" s="39">
        <f>D68</f>
        <v>91312.500000000029</v>
      </c>
      <c r="F61" s="39">
        <f>E68</f>
        <v>136989.50000000006</v>
      </c>
      <c r="G61" s="39">
        <f>F68</f>
        <v>181976.50000000006</v>
      </c>
      <c r="H61" s="1"/>
      <c r="I61" s="1"/>
      <c r="J61" s="1"/>
      <c r="K61" s="1"/>
    </row>
    <row r="62" spans="2:11" x14ac:dyDescent="0.35">
      <c r="B62" s="16" t="s">
        <v>24</v>
      </c>
      <c r="C62" s="38">
        <f>F90</f>
        <v>66000.000000000015</v>
      </c>
      <c r="D62" s="38">
        <f>F90</f>
        <v>66000.000000000015</v>
      </c>
      <c r="E62" s="38">
        <f>F90</f>
        <v>66000.000000000015</v>
      </c>
      <c r="F62" s="38">
        <f>F90</f>
        <v>66000.000000000015</v>
      </c>
      <c r="G62" s="38">
        <f>F90</f>
        <v>66000.000000000015</v>
      </c>
      <c r="H62" s="1"/>
      <c r="I62" s="1"/>
      <c r="J62" s="1"/>
      <c r="K62" s="1"/>
    </row>
    <row r="63" spans="2:11" x14ac:dyDescent="0.35">
      <c r="B63" s="16" t="s">
        <v>25</v>
      </c>
      <c r="C63" s="38"/>
      <c r="D63" s="38"/>
      <c r="E63" s="38"/>
      <c r="F63" s="38"/>
      <c r="G63" s="38"/>
      <c r="H63" s="1"/>
      <c r="I63" s="1"/>
      <c r="J63" s="1"/>
      <c r="K63" s="1"/>
    </row>
    <row r="64" spans="2:11" x14ac:dyDescent="0.35">
      <c r="B64" s="16" t="s">
        <v>64</v>
      </c>
      <c r="C64" s="38">
        <f>E55</f>
        <v>18943.5</v>
      </c>
      <c r="D64" s="38">
        <f>F55</f>
        <v>19321</v>
      </c>
      <c r="E64" s="38">
        <f>G55</f>
        <v>19709</v>
      </c>
      <c r="F64" s="38">
        <f>H55</f>
        <v>20109</v>
      </c>
      <c r="G64" s="38">
        <f>I55</f>
        <v>20521</v>
      </c>
      <c r="H64" s="1"/>
      <c r="I64" s="1"/>
      <c r="J64" s="1"/>
      <c r="K64" s="1"/>
    </row>
    <row r="65" spans="2:11" x14ac:dyDescent="0.35">
      <c r="B65" s="16" t="s">
        <v>65</v>
      </c>
      <c r="C65" s="38">
        <f>G29</f>
        <v>1828</v>
      </c>
      <c r="D65" s="38">
        <f>H29</f>
        <v>595</v>
      </c>
      <c r="E65" s="38">
        <f>I29</f>
        <v>614</v>
      </c>
      <c r="F65" s="38">
        <f>J29</f>
        <v>904</v>
      </c>
      <c r="G65" s="38">
        <f>K29</f>
        <v>651</v>
      </c>
      <c r="H65" s="1"/>
      <c r="I65" s="1"/>
      <c r="J65" s="1"/>
      <c r="K65" s="1"/>
    </row>
    <row r="66" spans="2:11" x14ac:dyDescent="0.35">
      <c r="B66" s="16" t="s">
        <v>28</v>
      </c>
      <c r="C66" s="38">
        <f>C64+C65</f>
        <v>20771.5</v>
      </c>
      <c r="D66" s="38">
        <f>D64+D65</f>
        <v>19916</v>
      </c>
      <c r="E66" s="38">
        <f>E64+E65</f>
        <v>20323</v>
      </c>
      <c r="F66" s="38">
        <f>F64+F65</f>
        <v>21013</v>
      </c>
      <c r="G66" s="38">
        <f>G64+G65</f>
        <v>21172</v>
      </c>
      <c r="H66" s="1"/>
      <c r="I66" s="1"/>
      <c r="J66" s="1"/>
      <c r="K66" s="1"/>
    </row>
    <row r="67" spans="2:11" x14ac:dyDescent="0.35">
      <c r="B67" s="16" t="s">
        <v>26</v>
      </c>
      <c r="C67" s="38">
        <f>C62-C66</f>
        <v>45228.500000000015</v>
      </c>
      <c r="D67" s="38">
        <f>D62-D66</f>
        <v>46084.000000000015</v>
      </c>
      <c r="E67" s="38">
        <f>E62-E66</f>
        <v>45677.000000000015</v>
      </c>
      <c r="F67" s="38">
        <f>F62-F66</f>
        <v>44987.000000000015</v>
      </c>
      <c r="G67" s="38">
        <f>G62-G66</f>
        <v>44828.000000000015</v>
      </c>
      <c r="H67" s="1"/>
      <c r="I67" s="1"/>
      <c r="J67" s="1"/>
      <c r="K67" s="1"/>
    </row>
    <row r="68" spans="2:11" x14ac:dyDescent="0.35">
      <c r="B68" s="16" t="s">
        <v>27</v>
      </c>
      <c r="C68" s="38">
        <f>C61+C67</f>
        <v>45228.500000000015</v>
      </c>
      <c r="D68" s="38">
        <f>D61+D67</f>
        <v>91312.500000000029</v>
      </c>
      <c r="E68" s="38">
        <f>E61+E67</f>
        <v>136989.50000000006</v>
      </c>
      <c r="F68" s="38">
        <f>F61+F67</f>
        <v>181976.50000000006</v>
      </c>
      <c r="G68" s="38">
        <f>G61+G67</f>
        <v>226804.50000000006</v>
      </c>
      <c r="H68" s="1"/>
      <c r="I68" s="1"/>
      <c r="J68" s="1"/>
      <c r="K68" s="1"/>
    </row>
    <row r="69" spans="2:11" x14ac:dyDescent="0.35">
      <c r="B69" s="7"/>
      <c r="C69" s="7"/>
      <c r="D69" s="7"/>
      <c r="E69" s="40"/>
      <c r="F69" s="40"/>
      <c r="G69" s="40"/>
      <c r="H69" s="40"/>
      <c r="I69" s="40"/>
      <c r="J69" s="1"/>
      <c r="K69" s="1"/>
    </row>
    <row r="70" spans="2:11" ht="21.5" x14ac:dyDescent="0.75">
      <c r="B70" s="107"/>
      <c r="C70" s="107"/>
      <c r="D70" s="107"/>
      <c r="E70" s="244" t="s">
        <v>118</v>
      </c>
      <c r="F70" s="244"/>
      <c r="G70" s="1"/>
      <c r="H70" s="1"/>
      <c r="I70" s="1"/>
      <c r="J70" s="1"/>
      <c r="K70" s="1"/>
    </row>
    <row r="71" spans="2:11" x14ac:dyDescent="0.35">
      <c r="B71" s="107"/>
      <c r="C71" s="107"/>
      <c r="D71" s="107"/>
      <c r="E71" s="145"/>
      <c r="F71" s="145"/>
      <c r="G71" s="1"/>
      <c r="H71" s="1"/>
      <c r="I71" s="1"/>
      <c r="J71" s="1"/>
      <c r="K71" s="1"/>
    </row>
    <row r="72" spans="2:11" ht="16" thickBot="1" x14ac:dyDescent="0.4">
      <c r="B72" s="23" t="str">
        <f>Budget!A68</f>
        <v>Capital Item</v>
      </c>
      <c r="C72" s="34" t="str">
        <f>Budget!B68</f>
        <v>Unit Cost</v>
      </c>
      <c r="D72" s="33" t="str">
        <f>Budget!C68</f>
        <v>Years of Life</v>
      </c>
      <c r="E72" s="33" t="str">
        <f>Budget!D68</f>
        <v>Year 1</v>
      </c>
      <c r="F72" s="33" t="str">
        <f>Budget!E68</f>
        <v>Year 2</v>
      </c>
      <c r="G72" s="33" t="str">
        <f>Budget!F68</f>
        <v>Year 3</v>
      </c>
      <c r="H72" s="33" t="str">
        <f>Budget!G68</f>
        <v>Year 4</v>
      </c>
      <c r="I72" s="33" t="str">
        <f>Budget!H68</f>
        <v>Year 5</v>
      </c>
      <c r="J72" s="1"/>
      <c r="K72" s="1"/>
    </row>
    <row r="73" spans="2:11" x14ac:dyDescent="0.35">
      <c r="B73" s="25" t="str">
        <f>Budget!A69</f>
        <v>Nursery Bag</v>
      </c>
      <c r="C73" s="144">
        <f>Budget!B69</f>
        <v>7</v>
      </c>
      <c r="D73" s="140">
        <f>Budget!C69</f>
        <v>4</v>
      </c>
      <c r="E73" s="26">
        <f>Budget!D69</f>
        <v>175</v>
      </c>
      <c r="F73" s="26">
        <f>Budget!E69</f>
        <v>180</v>
      </c>
      <c r="G73" s="26">
        <f>Budget!F69</f>
        <v>185</v>
      </c>
      <c r="H73" s="26">
        <f>Budget!G69</f>
        <v>191</v>
      </c>
      <c r="I73" s="26">
        <f>Budget!H69</f>
        <v>197</v>
      </c>
      <c r="J73" s="1"/>
      <c r="K73" s="1"/>
    </row>
    <row r="74" spans="2:11" x14ac:dyDescent="0.35">
      <c r="B74" s="16" t="str">
        <f>Budget!A70</f>
        <v>Growout Bag</v>
      </c>
      <c r="C74" s="144">
        <f>Budget!B70</f>
        <v>6.2</v>
      </c>
      <c r="D74" s="141">
        <f>Budget!C70</f>
        <v>10</v>
      </c>
      <c r="E74" s="26">
        <f>Budget!D70</f>
        <v>404</v>
      </c>
      <c r="F74" s="26">
        <f>Budget!E70</f>
        <v>416</v>
      </c>
      <c r="G74" s="26">
        <f>Budget!F70</f>
        <v>428</v>
      </c>
      <c r="H74" s="26">
        <f>Budget!G70</f>
        <v>441</v>
      </c>
      <c r="I74" s="26">
        <f>Budget!H70</f>
        <v>454</v>
      </c>
      <c r="J74" s="1"/>
      <c r="K74" s="1"/>
    </row>
    <row r="75" spans="2:11" x14ac:dyDescent="0.35">
      <c r="B75" s="16" t="str">
        <f>Budget!A71</f>
        <v>Wet Suit</v>
      </c>
      <c r="C75" s="144">
        <f>Budget!B71</f>
        <v>250</v>
      </c>
      <c r="D75" s="141">
        <f>Budget!C71</f>
        <v>3</v>
      </c>
      <c r="E75" s="24">
        <f>Budget!D71</f>
        <v>83.333333333333329</v>
      </c>
      <c r="F75" s="24">
        <f>Budget!E71</f>
        <v>86</v>
      </c>
      <c r="G75" s="24">
        <f>Budget!F71</f>
        <v>89</v>
      </c>
      <c r="H75" s="24">
        <f>Budget!G71</f>
        <v>92</v>
      </c>
      <c r="I75" s="24">
        <f>Budget!H71</f>
        <v>95</v>
      </c>
      <c r="J75" s="1"/>
      <c r="K75" s="1"/>
    </row>
    <row r="76" spans="2:11" x14ac:dyDescent="0.35">
      <c r="B76" s="16" t="str">
        <f>Budget!A72</f>
        <v>Boat</v>
      </c>
      <c r="C76" s="144">
        <f>Budget!B72</f>
        <v>18000</v>
      </c>
      <c r="D76" s="141">
        <f>Budget!C72</f>
        <v>7</v>
      </c>
      <c r="E76" s="24">
        <f>Budget!D72</f>
        <v>0</v>
      </c>
      <c r="F76" s="24">
        <f>Budget!E72</f>
        <v>0</v>
      </c>
      <c r="G76" s="24">
        <f>Budget!F72</f>
        <v>0</v>
      </c>
      <c r="H76" s="24">
        <f>Budget!G72</f>
        <v>0</v>
      </c>
      <c r="I76" s="24">
        <f>Budget!H72</f>
        <v>0</v>
      </c>
      <c r="J76" s="1"/>
      <c r="K76" s="1"/>
    </row>
    <row r="77" spans="2:11" x14ac:dyDescent="0.35">
      <c r="B77" s="16" t="str">
        <f>Budget!A73</f>
        <v>Truck</v>
      </c>
      <c r="C77" s="144">
        <f>Budget!B73</f>
        <v>28000</v>
      </c>
      <c r="D77" s="141">
        <f>Budget!C73</f>
        <v>10</v>
      </c>
      <c r="E77" s="24">
        <f>Budget!D73</f>
        <v>0</v>
      </c>
      <c r="F77" s="24">
        <f>Budget!E73</f>
        <v>0</v>
      </c>
      <c r="G77" s="24">
        <f>Budget!F73</f>
        <v>0</v>
      </c>
      <c r="H77" s="24">
        <f>Budget!G73</f>
        <v>0</v>
      </c>
      <c r="I77" s="24">
        <f>Budget!H73</f>
        <v>0</v>
      </c>
      <c r="J77" s="1"/>
      <c r="K77" s="1"/>
    </row>
    <row r="78" spans="2:11" x14ac:dyDescent="0.35">
      <c r="B78" s="16" t="str">
        <f>Budget!A74</f>
        <v>Motor</v>
      </c>
      <c r="C78" s="144">
        <f>Budget!B74</f>
        <v>10000</v>
      </c>
      <c r="D78" s="141">
        <f>Budget!C74</f>
        <v>3</v>
      </c>
      <c r="E78" s="24">
        <f>Budget!D74</f>
        <v>0</v>
      </c>
      <c r="F78" s="24">
        <f>Budget!E74</f>
        <v>0</v>
      </c>
      <c r="G78" s="24">
        <f>Budget!F74</f>
        <v>0</v>
      </c>
      <c r="H78" s="24">
        <f>Budget!G74</f>
        <v>0</v>
      </c>
      <c r="I78" s="24">
        <f>Budget!H74</f>
        <v>0</v>
      </c>
      <c r="J78" s="1"/>
      <c r="K78" s="1"/>
    </row>
    <row r="79" spans="2:11" ht="44" thickBot="1" x14ac:dyDescent="0.4">
      <c r="B79" s="98" t="str">
        <f>Budget!A75</f>
        <v>Winch/Davit/Boom/Pulley/Batteries</v>
      </c>
      <c r="C79" s="129">
        <f>Budget!B75</f>
        <v>1000</v>
      </c>
      <c r="D79" s="142">
        <f>Budget!C75</f>
        <v>5</v>
      </c>
      <c r="E79" s="28">
        <f>Budget!D75</f>
        <v>200</v>
      </c>
      <c r="F79" s="28">
        <f>Budget!E75</f>
        <v>206</v>
      </c>
      <c r="G79" s="28">
        <f>Budget!F75</f>
        <v>212</v>
      </c>
      <c r="H79" s="28">
        <f>Budget!G75</f>
        <v>218</v>
      </c>
      <c r="I79" s="28">
        <f>Budget!H75</f>
        <v>225</v>
      </c>
      <c r="J79" s="1"/>
      <c r="K79" s="1"/>
    </row>
    <row r="80" spans="2:11" x14ac:dyDescent="0.35">
      <c r="B80" s="5" t="str">
        <f>Budget!A76</f>
        <v xml:space="preserve">Total Investment </v>
      </c>
      <c r="C80" s="6">
        <f>Budget!B76</f>
        <v>0</v>
      </c>
      <c r="D80" s="7">
        <f>Budget!C76</f>
        <v>0</v>
      </c>
      <c r="E80" s="15">
        <f>Budget!D76</f>
        <v>862.33333333333337</v>
      </c>
      <c r="F80" s="15">
        <f>Budget!E76</f>
        <v>888</v>
      </c>
      <c r="G80" s="15">
        <f>Budget!F76</f>
        <v>914</v>
      </c>
      <c r="H80" s="15">
        <f>Budget!G76</f>
        <v>942</v>
      </c>
      <c r="I80" s="15">
        <f>Budget!H76</f>
        <v>971</v>
      </c>
      <c r="J80" s="1"/>
      <c r="K80" s="1"/>
    </row>
    <row r="81" spans="2:11" x14ac:dyDescent="0.35">
      <c r="B81" s="7"/>
      <c r="C81" s="7"/>
      <c r="D81" s="7"/>
      <c r="E81" s="40"/>
      <c r="F81" s="40"/>
      <c r="G81" s="40"/>
      <c r="H81" s="40"/>
      <c r="I81" s="40"/>
      <c r="J81" s="1"/>
      <c r="K81" s="1"/>
    </row>
    <row r="82" spans="2:11" x14ac:dyDescent="0.35">
      <c r="B82" s="1"/>
      <c r="C82" s="1"/>
      <c r="D82" s="1"/>
      <c r="E82" s="4"/>
      <c r="F82" s="1"/>
      <c r="G82" s="1"/>
      <c r="H82" s="1"/>
      <c r="I82" s="1"/>
      <c r="J82" s="1"/>
      <c r="K82" s="1"/>
    </row>
    <row r="83" spans="2:11" ht="18.5" x14ac:dyDescent="0.45">
      <c r="B83" s="236" t="s">
        <v>75</v>
      </c>
      <c r="C83" s="236"/>
      <c r="D83" s="236"/>
      <c r="E83" s="236"/>
      <c r="F83" s="236"/>
      <c r="G83" s="236"/>
      <c r="H83" s="143"/>
      <c r="I83" s="143"/>
      <c r="J83" s="1"/>
      <c r="K83" s="1"/>
    </row>
    <row r="84" spans="2:11" ht="16" thickBot="1" x14ac:dyDescent="0.4">
      <c r="B84" s="33" t="s">
        <v>29</v>
      </c>
      <c r="C84" s="33"/>
      <c r="D84" s="34" t="s">
        <v>30</v>
      </c>
      <c r="E84" s="33" t="s">
        <v>31</v>
      </c>
      <c r="F84" s="33" t="s">
        <v>32</v>
      </c>
      <c r="G84" s="1"/>
      <c r="H84" s="1"/>
      <c r="I84" s="1"/>
      <c r="J84" s="1"/>
      <c r="K84" s="1"/>
    </row>
    <row r="85" spans="2:11" x14ac:dyDescent="0.35">
      <c r="B85" s="31" t="s">
        <v>33</v>
      </c>
      <c r="C85" s="31"/>
      <c r="D85" s="6"/>
      <c r="E85" s="7"/>
      <c r="F85" s="7"/>
      <c r="G85" s="1"/>
      <c r="H85" s="1"/>
      <c r="I85" s="1"/>
      <c r="J85" s="1"/>
      <c r="K85" s="1"/>
    </row>
    <row r="86" spans="2:11" x14ac:dyDescent="0.35">
      <c r="B86" s="7" t="s">
        <v>34</v>
      </c>
      <c r="C86" s="7"/>
      <c r="D86" s="50">
        <f>F13*D90</f>
        <v>420000.00000000006</v>
      </c>
      <c r="E86" s="51">
        <f>I7</f>
        <v>0.12</v>
      </c>
      <c r="F86" s="11">
        <f>E86*D86</f>
        <v>50400.000000000007</v>
      </c>
      <c r="G86" s="1"/>
      <c r="H86" s="1"/>
      <c r="I86" s="1"/>
      <c r="J86" s="1"/>
      <c r="K86" s="1"/>
    </row>
    <row r="87" spans="2:11" x14ac:dyDescent="0.35">
      <c r="B87" s="7" t="s">
        <v>35</v>
      </c>
      <c r="C87" s="7"/>
      <c r="D87" s="50">
        <f>F14*D90</f>
        <v>120000.00000000003</v>
      </c>
      <c r="E87" s="51">
        <f>I8</f>
        <v>0.1</v>
      </c>
      <c r="F87" s="11">
        <f>E87*D87</f>
        <v>12000.000000000004</v>
      </c>
      <c r="G87" s="1"/>
      <c r="H87" s="1"/>
      <c r="I87" s="1"/>
      <c r="J87" s="1"/>
      <c r="K87" s="1"/>
    </row>
    <row r="88" spans="2:11" x14ac:dyDescent="0.35">
      <c r="B88" s="7" t="s">
        <v>36</v>
      </c>
      <c r="C88" s="7"/>
      <c r="D88" s="50">
        <f>F15*D90</f>
        <v>60000.000000000015</v>
      </c>
      <c r="E88" s="52">
        <f>I9</f>
        <v>0.06</v>
      </c>
      <c r="F88" s="13">
        <f>E88*D88</f>
        <v>3600.0000000000009</v>
      </c>
      <c r="G88" s="1"/>
      <c r="H88" s="1"/>
      <c r="I88" s="1"/>
      <c r="J88" s="1"/>
      <c r="K88" s="1"/>
    </row>
    <row r="89" spans="2:11" x14ac:dyDescent="0.35">
      <c r="B89" s="261"/>
      <c r="C89" s="261"/>
      <c r="D89" s="261"/>
      <c r="E89" s="261"/>
      <c r="F89" s="261"/>
      <c r="G89" s="261"/>
      <c r="H89" s="1"/>
      <c r="I89" s="1"/>
      <c r="J89" s="1"/>
      <c r="K89" s="1"/>
    </row>
    <row r="90" spans="2:11" x14ac:dyDescent="0.35">
      <c r="B90" s="5" t="s">
        <v>79</v>
      </c>
      <c r="C90" s="5"/>
      <c r="D90" s="50">
        <f>D93*F11</f>
        <v>600000.00000000012</v>
      </c>
      <c r="E90" s="51"/>
      <c r="F90" s="53">
        <f>SUM(F86:F88)</f>
        <v>66000.000000000015</v>
      </c>
      <c r="G90" s="1"/>
      <c r="H90" s="1"/>
      <c r="I90" s="1"/>
      <c r="J90" s="1"/>
      <c r="K90" s="1"/>
    </row>
    <row r="91" spans="2:11" x14ac:dyDescent="0.35">
      <c r="B91" s="261"/>
      <c r="C91" s="261"/>
      <c r="D91" s="261"/>
      <c r="E91" s="261"/>
      <c r="F91" s="261"/>
      <c r="G91" s="261"/>
      <c r="H91" s="1"/>
      <c r="I91" s="1"/>
      <c r="J91" s="1"/>
      <c r="K91" s="1"/>
    </row>
    <row r="92" spans="2:11" x14ac:dyDescent="0.35">
      <c r="B92" s="31" t="s">
        <v>14</v>
      </c>
      <c r="C92" s="31"/>
      <c r="D92" s="31"/>
      <c r="E92" s="50"/>
      <c r="F92" s="51"/>
      <c r="G92" s="11"/>
      <c r="H92" s="1"/>
      <c r="I92" s="1"/>
      <c r="J92" s="1"/>
      <c r="K92" s="1"/>
    </row>
    <row r="93" spans="2:11" x14ac:dyDescent="0.35">
      <c r="B93" s="7" t="s">
        <v>82</v>
      </c>
      <c r="C93" s="7"/>
      <c r="D93" s="50">
        <f>F5</f>
        <v>1000000</v>
      </c>
      <c r="E93" s="52">
        <f>I5</f>
        <v>6.0000000000000001E-3</v>
      </c>
      <c r="F93" s="11">
        <f>E93*D93</f>
        <v>6000</v>
      </c>
      <c r="G93" s="1"/>
      <c r="H93" s="1"/>
      <c r="I93" s="1"/>
      <c r="J93" s="1"/>
      <c r="K93" s="1"/>
    </row>
    <row r="94" spans="2:11" x14ac:dyDescent="0.35">
      <c r="B94" s="7" t="s">
        <v>83</v>
      </c>
      <c r="C94" s="7"/>
      <c r="D94" s="50">
        <f>F18+F17</f>
        <v>752</v>
      </c>
      <c r="E94" s="11">
        <f>D41</f>
        <v>2</v>
      </c>
      <c r="F94" s="11">
        <f>E94*D94</f>
        <v>1504</v>
      </c>
      <c r="G94" s="1"/>
      <c r="H94" s="1"/>
      <c r="I94" s="1"/>
      <c r="J94" s="1"/>
      <c r="K94" s="1"/>
    </row>
    <row r="95" spans="2:11" x14ac:dyDescent="0.35">
      <c r="B95" s="7" t="s">
        <v>84</v>
      </c>
      <c r="C95" s="7"/>
      <c r="D95" s="50">
        <f>C42</f>
        <v>205</v>
      </c>
      <c r="E95" s="51">
        <f>D42</f>
        <v>3.5</v>
      </c>
      <c r="F95" s="11">
        <f>ROUND(E95*D95,0)</f>
        <v>718</v>
      </c>
      <c r="G95" s="1"/>
      <c r="H95" s="1"/>
      <c r="I95" s="1"/>
      <c r="J95" s="1"/>
      <c r="K95" s="1"/>
    </row>
    <row r="96" spans="2:11" x14ac:dyDescent="0.35">
      <c r="B96" s="7" t="s">
        <v>85</v>
      </c>
      <c r="C96" s="7"/>
      <c r="D96" s="50">
        <f>C43</f>
        <v>205</v>
      </c>
      <c r="E96" s="51">
        <f>D43</f>
        <v>3.5</v>
      </c>
      <c r="F96" s="11">
        <f>ROUND(E96*D96,0)</f>
        <v>718</v>
      </c>
      <c r="G96" s="1"/>
      <c r="H96" s="1"/>
      <c r="I96" s="1"/>
      <c r="J96" s="1"/>
      <c r="K96" s="1"/>
    </row>
    <row r="97" spans="2:11" x14ac:dyDescent="0.35">
      <c r="B97" s="7" t="s">
        <v>109</v>
      </c>
      <c r="C97" s="7"/>
      <c r="D97" s="50"/>
      <c r="E97" s="4"/>
      <c r="F97" s="11">
        <f>D45</f>
        <v>2800</v>
      </c>
      <c r="G97" s="1"/>
      <c r="H97" s="1"/>
      <c r="I97" s="1"/>
      <c r="J97" s="1"/>
      <c r="K97" s="1"/>
    </row>
    <row r="98" spans="2:11" x14ac:dyDescent="0.35">
      <c r="B98" s="7" t="s">
        <v>86</v>
      </c>
      <c r="C98" s="7"/>
      <c r="D98" s="50">
        <f>C46</f>
        <v>662</v>
      </c>
      <c r="E98" s="51">
        <f>D46</f>
        <v>1.25</v>
      </c>
      <c r="F98" s="11">
        <f>ROUND(E98*D98,0)</f>
        <v>828</v>
      </c>
      <c r="G98" s="1"/>
      <c r="H98" s="1"/>
      <c r="I98" s="1"/>
      <c r="J98" s="1"/>
      <c r="K98" s="1"/>
    </row>
    <row r="99" spans="2:11" x14ac:dyDescent="0.35">
      <c r="B99" s="7" t="s">
        <v>87</v>
      </c>
      <c r="C99" s="7"/>
      <c r="D99" s="50">
        <f>C44</f>
        <v>1</v>
      </c>
      <c r="E99" s="11">
        <f>D44</f>
        <v>100</v>
      </c>
      <c r="F99" s="11">
        <f>D99*E99</f>
        <v>100</v>
      </c>
      <c r="G99" s="1"/>
      <c r="H99" s="1"/>
      <c r="I99" s="1"/>
      <c r="J99" s="1"/>
      <c r="K99" s="1"/>
    </row>
    <row r="100" spans="2:11" x14ac:dyDescent="0.35">
      <c r="B100" s="7" t="s">
        <v>105</v>
      </c>
      <c r="C100" s="7"/>
      <c r="D100" s="50"/>
      <c r="E100" s="11"/>
      <c r="F100" s="11">
        <f>D47</f>
        <v>4400</v>
      </c>
      <c r="G100" s="1"/>
      <c r="H100" s="1"/>
      <c r="I100" s="1"/>
      <c r="J100" s="1"/>
      <c r="K100" s="1"/>
    </row>
    <row r="101" spans="2:11" x14ac:dyDescent="0.35">
      <c r="B101" s="7" t="s">
        <v>80</v>
      </c>
      <c r="C101" s="7"/>
      <c r="D101" s="50"/>
      <c r="E101" s="51"/>
      <c r="F101" s="13">
        <f>D48</f>
        <v>250</v>
      </c>
      <c r="G101" s="1"/>
      <c r="H101" s="1"/>
      <c r="I101" s="1"/>
      <c r="J101" s="1"/>
      <c r="K101" s="1"/>
    </row>
    <row r="102" spans="2:11" x14ac:dyDescent="0.35">
      <c r="B102" s="5" t="s">
        <v>37</v>
      </c>
      <c r="C102" s="5"/>
      <c r="D102" s="5"/>
      <c r="E102" s="50"/>
      <c r="F102" s="11">
        <f>SUM(F93:F101)</f>
        <v>17318</v>
      </c>
      <c r="G102" s="53"/>
      <c r="H102" s="1"/>
      <c r="I102" s="1"/>
      <c r="J102" s="1"/>
      <c r="K102" s="1"/>
    </row>
    <row r="103" spans="2:11" x14ac:dyDescent="0.35">
      <c r="B103" s="261"/>
      <c r="C103" s="261"/>
      <c r="D103" s="261"/>
      <c r="E103" s="261"/>
      <c r="F103" s="261"/>
      <c r="G103" s="261"/>
      <c r="H103" s="1"/>
      <c r="I103" s="1"/>
      <c r="J103" s="1"/>
      <c r="K103" s="1"/>
    </row>
    <row r="104" spans="2:11" x14ac:dyDescent="0.35">
      <c r="B104" s="31" t="s">
        <v>38</v>
      </c>
      <c r="C104" s="31"/>
      <c r="D104" s="31"/>
      <c r="E104" s="50"/>
      <c r="F104" s="51"/>
      <c r="G104" s="11"/>
      <c r="H104" s="1"/>
      <c r="I104" s="1"/>
      <c r="J104" s="1"/>
      <c r="K104" s="1"/>
    </row>
    <row r="105" spans="2:11" x14ac:dyDescent="0.35">
      <c r="B105" s="123" t="s">
        <v>19</v>
      </c>
      <c r="C105" s="7"/>
      <c r="D105" s="7"/>
      <c r="E105" s="6"/>
      <c r="F105" s="7"/>
      <c r="G105" s="7"/>
      <c r="H105" s="1"/>
      <c r="I105" s="1"/>
      <c r="J105" s="1"/>
      <c r="K105" s="1"/>
    </row>
    <row r="106" spans="2:11" x14ac:dyDescent="0.35">
      <c r="B106" s="7" t="s">
        <v>114</v>
      </c>
      <c r="C106" s="7"/>
      <c r="D106" s="50">
        <f t="shared" ref="D106:E110" si="2">C50</f>
        <v>1</v>
      </c>
      <c r="E106" s="11">
        <f t="shared" si="2"/>
        <v>750</v>
      </c>
      <c r="F106" s="11">
        <f>E106*D106</f>
        <v>750</v>
      </c>
      <c r="G106" s="1"/>
      <c r="H106" s="1"/>
      <c r="I106" s="1"/>
      <c r="J106" s="1"/>
      <c r="K106" s="1"/>
    </row>
    <row r="107" spans="2:11" x14ac:dyDescent="0.35">
      <c r="B107" s="7" t="s">
        <v>115</v>
      </c>
      <c r="C107" s="7"/>
      <c r="D107" s="50">
        <f t="shared" si="2"/>
        <v>1</v>
      </c>
      <c r="E107" s="11">
        <f t="shared" si="2"/>
        <v>250</v>
      </c>
      <c r="F107" s="11">
        <f>D107*E107</f>
        <v>250</v>
      </c>
      <c r="G107" s="1"/>
      <c r="H107" s="1"/>
      <c r="I107" s="1"/>
      <c r="J107" s="1"/>
      <c r="K107" s="1"/>
    </row>
    <row r="108" spans="2:11" x14ac:dyDescent="0.35">
      <c r="B108" s="7" t="s">
        <v>81</v>
      </c>
      <c r="C108" s="7"/>
      <c r="D108" s="50">
        <f t="shared" si="2"/>
        <v>1</v>
      </c>
      <c r="E108" s="11">
        <f t="shared" si="2"/>
        <v>500</v>
      </c>
      <c r="F108" s="11">
        <f>E108*D108</f>
        <v>500</v>
      </c>
      <c r="G108" s="1"/>
      <c r="H108" s="1"/>
      <c r="I108" s="1"/>
      <c r="J108" s="1"/>
      <c r="K108" s="1"/>
    </row>
    <row r="109" spans="2:11" x14ac:dyDescent="0.35">
      <c r="B109" s="7" t="s">
        <v>112</v>
      </c>
      <c r="C109" s="7"/>
      <c r="D109" s="50">
        <f t="shared" si="2"/>
        <v>1</v>
      </c>
      <c r="E109" s="11">
        <f t="shared" si="2"/>
        <v>27</v>
      </c>
      <c r="F109" s="11">
        <f>D109*E109</f>
        <v>27</v>
      </c>
      <c r="G109" s="1"/>
      <c r="H109" s="1"/>
      <c r="I109" s="1"/>
      <c r="J109" s="1"/>
      <c r="K109" s="1"/>
    </row>
    <row r="110" spans="2:11" x14ac:dyDescent="0.35">
      <c r="B110" s="7" t="s">
        <v>113</v>
      </c>
      <c r="C110" s="7"/>
      <c r="D110" s="50">
        <f t="shared" si="2"/>
        <v>1</v>
      </c>
      <c r="E110" s="11">
        <f t="shared" si="2"/>
        <v>100</v>
      </c>
      <c r="F110" s="11">
        <f>E110*D110</f>
        <v>100</v>
      </c>
      <c r="G110" s="1"/>
      <c r="H110" s="1"/>
      <c r="I110" s="1"/>
      <c r="J110" s="1"/>
      <c r="K110" s="1"/>
    </row>
    <row r="111" spans="2:11" x14ac:dyDescent="0.35">
      <c r="B111" s="261"/>
      <c r="C111" s="261"/>
      <c r="D111" s="261"/>
      <c r="E111" s="261"/>
      <c r="F111" s="261"/>
      <c r="G111" s="261"/>
      <c r="H111" s="1"/>
      <c r="I111" s="1"/>
      <c r="J111" s="1"/>
      <c r="K111" s="1"/>
    </row>
    <row r="112" spans="2:11" x14ac:dyDescent="0.35">
      <c r="B112" s="7" t="s">
        <v>39</v>
      </c>
      <c r="C112" s="7"/>
      <c r="D112" s="7"/>
      <c r="E112" s="6"/>
      <c r="F112" s="11">
        <f>ROUND(AVERAGE(G29:K29),0)</f>
        <v>918</v>
      </c>
      <c r="G112" s="1"/>
      <c r="H112" s="1"/>
      <c r="I112" s="1"/>
      <c r="J112" s="1"/>
      <c r="K112" s="1"/>
    </row>
    <row r="113" spans="2:11" x14ac:dyDescent="0.35">
      <c r="B113" s="7" t="s">
        <v>40</v>
      </c>
      <c r="C113" s="7"/>
      <c r="D113" s="7"/>
      <c r="E113" s="6"/>
      <c r="F113" s="13">
        <f>AVERAGE(E80:I80)</f>
        <v>915.46666666666681</v>
      </c>
      <c r="G113" s="1"/>
      <c r="H113" s="1"/>
      <c r="I113" s="1"/>
      <c r="J113" s="1"/>
      <c r="K113" s="1"/>
    </row>
    <row r="114" spans="2:11" x14ac:dyDescent="0.35">
      <c r="B114" s="5" t="s">
        <v>41</v>
      </c>
      <c r="C114" s="5"/>
      <c r="D114" s="5"/>
      <c r="E114" s="6"/>
      <c r="F114" s="53">
        <f>SUM(F106:F113)</f>
        <v>3460.4666666666667</v>
      </c>
      <c r="G114" s="1"/>
      <c r="H114" s="1"/>
      <c r="I114" s="1"/>
      <c r="J114" s="1"/>
      <c r="K114" s="1"/>
    </row>
    <row r="115" spans="2:11" x14ac:dyDescent="0.35">
      <c r="B115" s="5"/>
      <c r="C115" s="5"/>
      <c r="D115" s="5"/>
      <c r="E115" s="6"/>
      <c r="F115" s="53"/>
      <c r="G115" s="1"/>
      <c r="H115" s="1"/>
      <c r="I115" s="1"/>
      <c r="J115" s="1"/>
      <c r="K115" s="1"/>
    </row>
    <row r="116" spans="2:11" x14ac:dyDescent="0.35">
      <c r="B116" s="31" t="s">
        <v>90</v>
      </c>
      <c r="C116" s="31"/>
      <c r="D116" s="31"/>
      <c r="E116" s="6"/>
      <c r="F116" s="53">
        <f>F114+F102</f>
        <v>20778.466666666667</v>
      </c>
      <c r="G116" s="1"/>
      <c r="H116" s="1"/>
      <c r="I116" s="1"/>
      <c r="J116" s="1"/>
      <c r="K116" s="1"/>
    </row>
    <row r="117" spans="2:11" x14ac:dyDescent="0.35">
      <c r="B117" s="31"/>
      <c r="C117" s="31"/>
      <c r="D117" s="31"/>
      <c r="E117" s="6"/>
      <c r="F117" s="11"/>
      <c r="G117" s="1"/>
      <c r="H117" s="1"/>
      <c r="I117" s="1"/>
      <c r="J117" s="1"/>
      <c r="K117" s="1"/>
    </row>
    <row r="118" spans="2:11" x14ac:dyDescent="0.35">
      <c r="B118" s="31" t="s">
        <v>122</v>
      </c>
      <c r="C118" s="31"/>
      <c r="D118" s="31"/>
      <c r="E118" s="6"/>
      <c r="F118" s="11"/>
      <c r="G118" s="1"/>
      <c r="H118" s="1"/>
      <c r="I118" s="1"/>
      <c r="J118" s="1"/>
      <c r="K118" s="1"/>
    </row>
    <row r="119" spans="2:11" x14ac:dyDescent="0.35">
      <c r="B119" s="123" t="s">
        <v>123</v>
      </c>
      <c r="C119" s="31"/>
      <c r="D119" s="31"/>
      <c r="E119" s="6"/>
      <c r="F119" s="11"/>
      <c r="G119" s="1"/>
      <c r="H119" s="1"/>
      <c r="I119" s="1"/>
      <c r="J119" s="1"/>
      <c r="K119" s="1"/>
    </row>
    <row r="120" spans="2:11" x14ac:dyDescent="0.35">
      <c r="B120" s="5" t="s">
        <v>119</v>
      </c>
      <c r="C120" s="31"/>
      <c r="D120" s="31"/>
      <c r="E120" s="6"/>
      <c r="F120" s="11">
        <f>F90-(F116-F113)</f>
        <v>46137.000000000015</v>
      </c>
      <c r="G120" s="1"/>
      <c r="H120" s="1"/>
      <c r="I120" s="1"/>
      <c r="J120" s="1"/>
      <c r="K120" s="1"/>
    </row>
    <row r="121" spans="2:11" x14ac:dyDescent="0.35">
      <c r="B121" s="5" t="s">
        <v>120</v>
      </c>
      <c r="C121" s="31"/>
      <c r="D121" s="31"/>
      <c r="E121" s="6"/>
      <c r="F121" s="157">
        <f>(F116-F113)/D90</f>
        <v>3.3104999999999996E-2</v>
      </c>
      <c r="G121" s="1"/>
      <c r="H121" s="1"/>
      <c r="I121" s="1"/>
      <c r="J121" s="1"/>
      <c r="K121" s="1"/>
    </row>
    <row r="122" spans="2:11" x14ac:dyDescent="0.35">
      <c r="B122" s="5" t="s">
        <v>121</v>
      </c>
      <c r="C122" s="31"/>
      <c r="D122" s="31"/>
      <c r="E122" s="6"/>
      <c r="F122" s="55">
        <f>((F116-F113)/(E86*(D86/D90)+E87*(D87/D90)+E88*(D88/D90)))/D93</f>
        <v>0.18057272727272727</v>
      </c>
      <c r="G122" s="1"/>
      <c r="H122" s="1"/>
      <c r="I122" s="1"/>
      <c r="J122" s="1"/>
      <c r="K122" s="1"/>
    </row>
    <row r="123" spans="2:11" x14ac:dyDescent="0.35">
      <c r="B123" s="5"/>
      <c r="C123" s="31"/>
      <c r="D123" s="31"/>
      <c r="E123" s="6"/>
      <c r="F123" s="55"/>
      <c r="G123" s="1"/>
      <c r="H123" s="1"/>
      <c r="I123" s="1"/>
      <c r="J123" s="1"/>
      <c r="K123" s="1"/>
    </row>
    <row r="124" spans="2:11" x14ac:dyDescent="0.35">
      <c r="B124" s="158" t="s">
        <v>90</v>
      </c>
      <c r="C124" s="156"/>
      <c r="D124" s="156"/>
      <c r="E124" s="156"/>
      <c r="F124" s="156"/>
      <c r="G124" s="156"/>
      <c r="H124" s="1"/>
      <c r="I124" s="1"/>
      <c r="J124" s="1"/>
      <c r="K124" s="1"/>
    </row>
    <row r="125" spans="2:11" x14ac:dyDescent="0.35">
      <c r="B125" s="5" t="s">
        <v>42</v>
      </c>
      <c r="C125" s="5"/>
      <c r="D125" s="5"/>
      <c r="E125" s="6"/>
      <c r="F125" s="11">
        <f>F90-F116</f>
        <v>45221.533333333347</v>
      </c>
      <c r="G125" s="1"/>
      <c r="H125" s="1"/>
      <c r="I125" s="1"/>
      <c r="J125" s="1"/>
      <c r="K125" s="1"/>
    </row>
    <row r="126" spans="2:11" x14ac:dyDescent="0.35">
      <c r="B126" s="5" t="s">
        <v>43</v>
      </c>
      <c r="C126" s="5"/>
      <c r="D126" s="5"/>
      <c r="E126" s="6"/>
      <c r="F126" s="54">
        <f>F116/D90</f>
        <v>3.4630777777777774E-2</v>
      </c>
      <c r="G126" s="1"/>
      <c r="H126" s="1"/>
      <c r="I126" s="1"/>
      <c r="J126" s="1"/>
      <c r="K126" s="1"/>
    </row>
    <row r="127" spans="2:11" x14ac:dyDescent="0.35">
      <c r="B127" s="5" t="s">
        <v>44</v>
      </c>
      <c r="C127" s="5"/>
      <c r="D127" s="5"/>
      <c r="E127" s="6"/>
      <c r="F127" s="55">
        <f>(F116/(E86*(D86/D90)+E87*(D87/D90)+E88*(D88/D90)))/D93</f>
        <v>0.18889515151515152</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OrEqual" allowBlank="1" showInputMessage="1" showErrorMessage="1" sqref="F15">
      <formula1>0</formula1>
    </dataValidation>
    <dataValidation type="whole" allowBlank="1" showInputMessage="1" showErrorMessage="1" sqref="E25:E28">
      <formula1>0</formula1>
      <formula2>1</formula2>
    </dataValidation>
    <dataValidation type="whole" operator="greaterThan" allowBlank="1" showInputMessage="1" showErrorMessage="1" sqref="C22:C28 D24:D28 E24 F53:I54 E50:E54 F5 E40:E41 F47:I47 E43:E48 D75:D79 C73:C79">
      <formula1>0</formula1>
    </dataValidation>
    <dataValidation type="decimal" operator="greaterThan" allowBlank="1" showInputMessage="1" showErrorMessage="1" sqref="I7:I9 I5 F6:F7 F9:F11 F13:F14">
      <formula1>0</formula1>
    </dataValidation>
  </dataValidations>
  <pageMargins left="0.75" right="0.75" top="1" bottom="1" header="0.5" footer="0.5"/>
  <pageSetup orientation="portrait"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18"/>
  <sheetViews>
    <sheetView zoomScaleNormal="100" workbookViewId="0">
      <selection activeCell="C10" sqref="C10:D10"/>
    </sheetView>
  </sheetViews>
  <sheetFormatPr defaultColWidth="11" defaultRowHeight="15.5" x14ac:dyDescent="0.35"/>
  <cols>
    <col min="1" max="1" width="12" customWidth="1"/>
    <col min="2" max="2" width="41.5" customWidth="1"/>
    <col min="3" max="4" width="7.5" bestFit="1" customWidth="1"/>
    <col min="5" max="5" width="12" customWidth="1"/>
  </cols>
  <sheetData>
    <row r="3" spans="2:4" ht="16" thickBot="1" x14ac:dyDescent="0.4"/>
    <row r="4" spans="2:4" ht="26.5" thickBot="1" x14ac:dyDescent="0.65">
      <c r="B4" s="212" t="s">
        <v>116</v>
      </c>
      <c r="C4" s="213"/>
      <c r="D4" s="214"/>
    </row>
    <row r="5" spans="2:4" x14ac:dyDescent="0.35">
      <c r="B5" s="180" t="s">
        <v>130</v>
      </c>
      <c r="C5" s="223" t="s">
        <v>131</v>
      </c>
      <c r="D5" s="224"/>
    </row>
    <row r="6" spans="2:4" ht="22" customHeight="1" x14ac:dyDescent="0.35">
      <c r="B6" s="190" t="s">
        <v>143</v>
      </c>
      <c r="C6" s="221">
        <v>2014</v>
      </c>
      <c r="D6" s="222"/>
    </row>
    <row r="7" spans="2:4" ht="18" customHeight="1" x14ac:dyDescent="0.35">
      <c r="B7" s="215"/>
      <c r="C7" s="216"/>
      <c r="D7" s="217"/>
    </row>
    <row r="8" spans="2:4" ht="38.15" customHeight="1" x14ac:dyDescent="0.35">
      <c r="B8" s="191" t="s">
        <v>152</v>
      </c>
      <c r="C8" s="221">
        <v>0</v>
      </c>
      <c r="D8" s="222"/>
    </row>
    <row r="9" spans="2:4" ht="18" customHeight="1" x14ac:dyDescent="0.35">
      <c r="B9" s="218"/>
      <c r="C9" s="219"/>
      <c r="D9" s="220"/>
    </row>
    <row r="10" spans="2:4" ht="48" customHeight="1" x14ac:dyDescent="0.35">
      <c r="B10" s="192" t="s">
        <v>145</v>
      </c>
      <c r="C10" s="221" t="s">
        <v>144</v>
      </c>
      <c r="D10" s="222"/>
    </row>
    <row r="11" spans="2:4" ht="18" customHeight="1" x14ac:dyDescent="0.35">
      <c r="B11" s="193"/>
      <c r="C11" s="194"/>
      <c r="D11" s="195"/>
    </row>
    <row r="12" spans="2:4" ht="46.5" x14ac:dyDescent="0.35">
      <c r="B12" s="196" t="s">
        <v>153</v>
      </c>
      <c r="C12" s="221">
        <v>0</v>
      </c>
      <c r="D12" s="222"/>
    </row>
    <row r="13" spans="2:4" x14ac:dyDescent="0.35">
      <c r="B13" s="225"/>
      <c r="C13" s="226"/>
      <c r="D13" s="227"/>
    </row>
    <row r="14" spans="2:4" ht="45" customHeight="1" x14ac:dyDescent="0.35">
      <c r="B14" s="192" t="s">
        <v>146</v>
      </c>
      <c r="C14" s="221" t="s">
        <v>144</v>
      </c>
      <c r="D14" s="222"/>
    </row>
    <row r="15" spans="2:4" x14ac:dyDescent="0.35">
      <c r="B15" s="233"/>
      <c r="C15" s="234"/>
      <c r="D15" s="235"/>
    </row>
    <row r="16" spans="2:4" ht="31" x14ac:dyDescent="0.35">
      <c r="B16" s="197" t="s">
        <v>154</v>
      </c>
      <c r="C16" s="221">
        <v>0</v>
      </c>
      <c r="D16" s="222"/>
    </row>
    <row r="17" spans="2:4" x14ac:dyDescent="0.35">
      <c r="B17" s="228"/>
      <c r="C17" s="229"/>
      <c r="D17" s="230"/>
    </row>
    <row r="18" spans="2:4" ht="48" customHeight="1" thickBot="1" x14ac:dyDescent="0.4">
      <c r="B18" s="198" t="s">
        <v>147</v>
      </c>
      <c r="C18" s="231" t="s">
        <v>144</v>
      </c>
      <c r="D18" s="232"/>
    </row>
  </sheetData>
  <sheetProtection sheet="1" objects="1" scenarios="1"/>
  <mergeCells count="14">
    <mergeCell ref="C18:D18"/>
    <mergeCell ref="C16:D16"/>
    <mergeCell ref="B15:D15"/>
    <mergeCell ref="C12:D12"/>
    <mergeCell ref="C10:D10"/>
    <mergeCell ref="B13:D13"/>
    <mergeCell ref="C14:D14"/>
    <mergeCell ref="B17:D17"/>
    <mergeCell ref="B4:D4"/>
    <mergeCell ref="B7:D7"/>
    <mergeCell ref="B9:D9"/>
    <mergeCell ref="C6:D6"/>
    <mergeCell ref="C8:D8"/>
    <mergeCell ref="C5:D5"/>
  </mergeCells>
  <phoneticPr fontId="2" type="noConversion"/>
  <dataValidations count="1">
    <dataValidation type="textLength" operator="equal" showInputMessage="1" showErrorMessage="1" errorTitle="Please Enter the Current Year" error="Use the Form (yyyy)_x000a_Example: 2014" sqref="C6:D6">
      <formula1>4</formula1>
    </dataValidation>
  </dataValidations>
  <pageMargins left="0.75" right="0.75" top="1" bottom="1" header="0.5" footer="0.5"/>
  <pageSetup orientation="portrait" horizontalDpi="4294967292" verticalDpi="4294967292"/>
  <headerFooter alignWithMargins="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27"/>
  <sheetViews>
    <sheetView topLeftCell="A47" workbookViewId="0">
      <selection activeCell="L79" sqref="L79"/>
    </sheetView>
  </sheetViews>
  <sheetFormatPr defaultColWidth="11" defaultRowHeight="15.5" x14ac:dyDescent="0.35"/>
  <sheetData>
    <row r="3" spans="2:11" ht="16" thickBot="1" x14ac:dyDescent="0.4">
      <c r="B3" s="1"/>
      <c r="C3" s="1"/>
      <c r="D3" s="1"/>
      <c r="E3" s="66"/>
      <c r="F3" s="37"/>
      <c r="G3" s="7"/>
      <c r="H3" s="1"/>
      <c r="I3" s="1"/>
      <c r="J3" s="1"/>
      <c r="K3" s="1"/>
    </row>
    <row r="4" spans="2:11" x14ac:dyDescent="0.35">
      <c r="B4" s="1"/>
      <c r="C4" s="1"/>
      <c r="D4" s="18" t="s">
        <v>51</v>
      </c>
      <c r="E4" s="117"/>
      <c r="F4" s="19" t="s">
        <v>50</v>
      </c>
      <c r="G4" s="1"/>
      <c r="H4" s="18" t="s">
        <v>53</v>
      </c>
      <c r="I4" s="19" t="s">
        <v>54</v>
      </c>
      <c r="J4" s="1"/>
      <c r="K4" s="1"/>
    </row>
    <row r="5" spans="2:11" x14ac:dyDescent="0.35">
      <c r="B5" s="1"/>
      <c r="C5" s="1"/>
      <c r="D5" s="239" t="s">
        <v>73</v>
      </c>
      <c r="E5" s="240"/>
      <c r="F5" s="56">
        <f>Budget!E5</f>
        <v>1000000</v>
      </c>
      <c r="G5" s="1"/>
      <c r="H5" s="22" t="s">
        <v>46</v>
      </c>
      <c r="I5" s="62">
        <f>Budget!H5</f>
        <v>6.0000000000000001E-3</v>
      </c>
      <c r="J5" s="1"/>
      <c r="K5" s="1"/>
    </row>
    <row r="6" spans="2:11" x14ac:dyDescent="0.35">
      <c r="B6" s="1"/>
      <c r="C6" s="1"/>
      <c r="D6" s="247" t="s">
        <v>60</v>
      </c>
      <c r="E6" s="248"/>
      <c r="F6" s="57">
        <f>Budget!E6</f>
        <v>10000</v>
      </c>
      <c r="G6" s="1"/>
      <c r="H6" s="43" t="s">
        <v>47</v>
      </c>
      <c r="I6" s="21">
        <f>Budget!H6</f>
        <v>0</v>
      </c>
      <c r="J6" s="1"/>
      <c r="K6" s="1"/>
    </row>
    <row r="7" spans="2:11" x14ac:dyDescent="0.35">
      <c r="B7" s="1"/>
      <c r="C7" s="1"/>
      <c r="D7" s="239" t="s">
        <v>55</v>
      </c>
      <c r="E7" s="240"/>
      <c r="F7" s="82">
        <f>Budget!E7</f>
        <v>1150</v>
      </c>
      <c r="G7" s="1"/>
      <c r="H7" s="20" t="s">
        <v>67</v>
      </c>
      <c r="I7" s="45">
        <f>'Cash Cost Sensitivities (2)'!A15</f>
        <v>0.11</v>
      </c>
      <c r="J7" s="1"/>
      <c r="K7" s="1"/>
    </row>
    <row r="8" spans="2:11" x14ac:dyDescent="0.35">
      <c r="B8" s="1"/>
      <c r="C8" s="1"/>
      <c r="D8" s="239" t="s">
        <v>56</v>
      </c>
      <c r="E8" s="240"/>
      <c r="F8" s="59"/>
      <c r="G8" s="1"/>
      <c r="H8" s="20" t="s">
        <v>62</v>
      </c>
      <c r="I8" s="45">
        <f>'Cash Cost Sensitivities (2)'!B15</f>
        <v>0.09</v>
      </c>
      <c r="J8" s="1"/>
      <c r="K8" s="1"/>
    </row>
    <row r="9" spans="2:11" ht="16" thickBot="1" x14ac:dyDescent="0.4">
      <c r="B9" s="1"/>
      <c r="C9" s="1"/>
      <c r="D9" s="237" t="s">
        <v>57</v>
      </c>
      <c r="E9" s="238"/>
      <c r="F9" s="60">
        <f>Budget!E9</f>
        <v>0.75</v>
      </c>
      <c r="G9" s="1"/>
      <c r="H9" s="44" t="s">
        <v>63</v>
      </c>
      <c r="I9" s="46">
        <f>'Cash Cost Sensitivities (2)'!C15</f>
        <v>5.5E-2</v>
      </c>
      <c r="J9" s="1"/>
      <c r="K9" s="1"/>
    </row>
    <row r="10" spans="2:11" x14ac:dyDescent="0.35">
      <c r="B10" s="1"/>
      <c r="C10" s="1"/>
      <c r="D10" s="237" t="s">
        <v>58</v>
      </c>
      <c r="E10" s="238"/>
      <c r="F10" s="60">
        <f>Budget!E10</f>
        <v>0.8</v>
      </c>
      <c r="G10" s="1"/>
      <c r="H10" s="17"/>
      <c r="I10" s="1"/>
      <c r="J10" s="1"/>
      <c r="K10" s="1"/>
    </row>
    <row r="11" spans="2:11" x14ac:dyDescent="0.35">
      <c r="B11" s="1"/>
      <c r="C11" s="1"/>
      <c r="D11" s="237" t="s">
        <v>59</v>
      </c>
      <c r="E11" s="238"/>
      <c r="F11" s="132">
        <f>F9*F10</f>
        <v>0.60000000000000009</v>
      </c>
      <c r="G11" s="1"/>
      <c r="H11" s="138"/>
      <c r="I11" s="139"/>
      <c r="J11" s="1"/>
      <c r="K11" s="1"/>
    </row>
    <row r="12" spans="2:11" x14ac:dyDescent="0.35">
      <c r="B12" s="1"/>
      <c r="C12" s="1"/>
      <c r="D12" s="239" t="s">
        <v>52</v>
      </c>
      <c r="E12" s="240"/>
      <c r="F12" s="241"/>
      <c r="G12" s="1"/>
      <c r="H12" s="1"/>
      <c r="I12" s="1"/>
      <c r="J12" s="1"/>
      <c r="K12" s="1"/>
    </row>
    <row r="13" spans="2:11" x14ac:dyDescent="0.35">
      <c r="B13" s="1"/>
      <c r="C13" s="1"/>
      <c r="D13" s="237" t="s">
        <v>61</v>
      </c>
      <c r="E13" s="238"/>
      <c r="F13" s="60">
        <f>Budget!E13</f>
        <v>0.7</v>
      </c>
      <c r="G13" s="1"/>
      <c r="H13" s="1"/>
      <c r="I13" s="1"/>
      <c r="J13" s="1"/>
      <c r="K13" s="1"/>
    </row>
    <row r="14" spans="2:11" x14ac:dyDescent="0.35">
      <c r="B14" s="1"/>
      <c r="C14" s="1"/>
      <c r="D14" s="237" t="s">
        <v>62</v>
      </c>
      <c r="E14" s="238"/>
      <c r="F14" s="60">
        <f>Budget!E14</f>
        <v>0.2</v>
      </c>
      <c r="G14" s="1"/>
      <c r="H14" s="1"/>
      <c r="I14" s="1"/>
      <c r="J14" s="1"/>
      <c r="K14" s="1"/>
    </row>
    <row r="15" spans="2:11" x14ac:dyDescent="0.35">
      <c r="B15" s="1"/>
      <c r="C15" s="1"/>
      <c r="D15" s="237" t="s">
        <v>63</v>
      </c>
      <c r="E15" s="238"/>
      <c r="F15" s="105">
        <f>Budget!E15</f>
        <v>0.1</v>
      </c>
      <c r="G15" s="1"/>
      <c r="H15" s="1"/>
      <c r="I15" s="1"/>
      <c r="J15" s="1"/>
      <c r="K15" s="1"/>
    </row>
    <row r="16" spans="2:11" x14ac:dyDescent="0.35">
      <c r="B16" s="7"/>
      <c r="C16" s="7"/>
      <c r="D16" s="242" t="s">
        <v>103</v>
      </c>
      <c r="E16" s="243"/>
      <c r="F16" s="103"/>
      <c r="G16" s="1"/>
      <c r="H16" s="1"/>
      <c r="I16" s="1"/>
      <c r="J16" s="1"/>
      <c r="K16" s="1"/>
    </row>
    <row r="17" spans="2:11" x14ac:dyDescent="0.35">
      <c r="B17" s="1"/>
      <c r="C17" s="1"/>
      <c r="D17" s="250" t="s">
        <v>57</v>
      </c>
      <c r="E17" s="251"/>
      <c r="F17" s="106">
        <f>ROUND(F5/F6,0)</f>
        <v>100</v>
      </c>
      <c r="G17" s="1"/>
      <c r="H17" s="1"/>
      <c r="I17" s="1"/>
      <c r="J17" s="1"/>
      <c r="K17" s="1"/>
    </row>
    <row r="18" spans="2:11" ht="16" thickBot="1" x14ac:dyDescent="0.4">
      <c r="B18" s="2"/>
      <c r="C18" s="2"/>
      <c r="D18" s="252" t="s">
        <v>102</v>
      </c>
      <c r="E18" s="253"/>
      <c r="F18" s="104">
        <f>ROUND(F5*F9/F7,0)</f>
        <v>652</v>
      </c>
      <c r="G18" s="1"/>
      <c r="H18" s="1"/>
      <c r="I18" s="1"/>
      <c r="J18" s="1"/>
      <c r="K18" s="1"/>
    </row>
    <row r="19" spans="2:11" x14ac:dyDescent="0.35">
      <c r="B19" s="2"/>
      <c r="C19" s="2"/>
      <c r="D19" s="2"/>
      <c r="E19" s="14"/>
      <c r="F19" s="2"/>
      <c r="G19" s="1"/>
      <c r="H19" s="1"/>
      <c r="I19" s="1"/>
      <c r="J19" s="1"/>
      <c r="K19" s="1"/>
    </row>
    <row r="20" spans="2:11" ht="18.5" x14ac:dyDescent="0.45">
      <c r="B20" s="236" t="s">
        <v>12</v>
      </c>
      <c r="C20" s="236"/>
      <c r="D20" s="236"/>
      <c r="E20" s="236"/>
      <c r="F20" s="236"/>
      <c r="G20" s="236"/>
      <c r="H20" s="236"/>
      <c r="I20" s="236"/>
      <c r="J20" s="236"/>
      <c r="K20" s="236"/>
    </row>
    <row r="21" spans="2:11" ht="16" thickBot="1" x14ac:dyDescent="0.4">
      <c r="B21" s="23" t="s">
        <v>0</v>
      </c>
      <c r="C21" s="34" t="s">
        <v>1</v>
      </c>
      <c r="D21" s="33" t="s">
        <v>2</v>
      </c>
      <c r="E21" s="33" t="s">
        <v>72</v>
      </c>
      <c r="F21" s="33" t="s">
        <v>117</v>
      </c>
      <c r="G21" s="33" t="s">
        <v>3</v>
      </c>
      <c r="H21" s="33" t="s">
        <v>4</v>
      </c>
      <c r="I21" s="33" t="s">
        <v>5</v>
      </c>
      <c r="J21" s="33" t="s">
        <v>6</v>
      </c>
      <c r="K21" s="33" t="s">
        <v>7</v>
      </c>
    </row>
    <row r="22" spans="2:11" x14ac:dyDescent="0.35">
      <c r="B22" s="25" t="s">
        <v>8</v>
      </c>
      <c r="C22" s="68">
        <f>Budget!B22</f>
        <v>7</v>
      </c>
      <c r="D22" s="140">
        <f>Budget!C22</f>
        <v>4</v>
      </c>
      <c r="E22" s="146">
        <f>Budget!D22</f>
        <v>25</v>
      </c>
      <c r="F22" s="149">
        <f>Budget!E22</f>
        <v>175</v>
      </c>
      <c r="G22" s="149">
        <f>Budget!F22</f>
        <v>175</v>
      </c>
      <c r="H22" s="149">
        <f>Budget!G22</f>
        <v>180</v>
      </c>
      <c r="I22" s="149">
        <f>Budget!H22</f>
        <v>186</v>
      </c>
      <c r="J22" s="149">
        <f>Budget!I22</f>
        <v>191</v>
      </c>
      <c r="K22" s="149">
        <f>Budget!J22</f>
        <v>197</v>
      </c>
    </row>
    <row r="23" spans="2:11" x14ac:dyDescent="0.35">
      <c r="B23" s="16" t="s">
        <v>9</v>
      </c>
      <c r="C23" s="67">
        <f>Budget!B23</f>
        <v>6.2</v>
      </c>
      <c r="D23" s="141">
        <f>Budget!C23</f>
        <v>10</v>
      </c>
      <c r="E23" s="181">
        <f>Budget!D23</f>
        <v>65</v>
      </c>
      <c r="F23" s="150">
        <f>Budget!E23</f>
        <v>404</v>
      </c>
      <c r="G23" s="150">
        <f>Budget!F23</f>
        <v>403</v>
      </c>
      <c r="H23" s="150">
        <f>Budget!G23</f>
        <v>415</v>
      </c>
      <c r="I23" s="150">
        <f>Budget!H23</f>
        <v>428</v>
      </c>
      <c r="J23" s="150">
        <f>Budget!I23</f>
        <v>440</v>
      </c>
      <c r="K23" s="150">
        <f>Budget!J23</f>
        <v>454</v>
      </c>
    </row>
    <row r="24" spans="2:11" x14ac:dyDescent="0.35">
      <c r="B24" s="16" t="s">
        <v>10</v>
      </c>
      <c r="C24" s="67">
        <f>Budget!B24</f>
        <v>250</v>
      </c>
      <c r="D24" s="141">
        <f>Budget!C24</f>
        <v>3</v>
      </c>
      <c r="E24" s="182">
        <f>Budget!D24</f>
        <v>1</v>
      </c>
      <c r="F24" s="151">
        <f>Budget!E24</f>
        <v>0</v>
      </c>
      <c r="G24" s="150">
        <f>Budget!F24</f>
        <v>250</v>
      </c>
      <c r="H24" s="150">
        <f>Budget!G24</f>
        <v>0</v>
      </c>
      <c r="I24" s="150">
        <f>Budget!H24</f>
        <v>0</v>
      </c>
      <c r="J24" s="150">
        <f>Budget!I24</f>
        <v>273</v>
      </c>
      <c r="K24" s="150">
        <f>Budget!J24</f>
        <v>0</v>
      </c>
    </row>
    <row r="25" spans="2:11" x14ac:dyDescent="0.35">
      <c r="B25" s="16" t="s">
        <v>11</v>
      </c>
      <c r="C25" s="67">
        <f>Budget!B25</f>
        <v>18000</v>
      </c>
      <c r="D25" s="141">
        <f>Budget!C25</f>
        <v>7</v>
      </c>
      <c r="E25" s="141">
        <f>Budget!D25</f>
        <v>0</v>
      </c>
      <c r="F25" s="152">
        <f>Budget!E25</f>
        <v>0</v>
      </c>
      <c r="G25" s="150">
        <f>Budget!F25</f>
        <v>0</v>
      </c>
      <c r="H25" s="150">
        <f>Budget!G25</f>
        <v>0</v>
      </c>
      <c r="I25" s="150">
        <f>Budget!H25</f>
        <v>0</v>
      </c>
      <c r="J25" s="150">
        <f>Budget!I25</f>
        <v>0</v>
      </c>
      <c r="K25" s="150">
        <f>Budget!J25</f>
        <v>0</v>
      </c>
    </row>
    <row r="26" spans="2:11" x14ac:dyDescent="0.35">
      <c r="B26" s="16" t="s">
        <v>69</v>
      </c>
      <c r="C26" s="67">
        <f>Budget!B26</f>
        <v>28000</v>
      </c>
      <c r="D26" s="141">
        <f>Budget!C26</f>
        <v>10</v>
      </c>
      <c r="E26" s="141">
        <f>Budget!D26</f>
        <v>0</v>
      </c>
      <c r="F26" s="152">
        <f>Budget!E26</f>
        <v>0</v>
      </c>
      <c r="G26" s="150">
        <f>Budget!F26</f>
        <v>0</v>
      </c>
      <c r="H26" s="150">
        <f>Budget!G26</f>
        <v>0</v>
      </c>
      <c r="I26" s="150">
        <f>Budget!H26</f>
        <v>0</v>
      </c>
      <c r="J26" s="150">
        <f>Budget!I26</f>
        <v>0</v>
      </c>
      <c r="K26" s="150">
        <f>Budget!J26</f>
        <v>0</v>
      </c>
    </row>
    <row r="27" spans="2:11" x14ac:dyDescent="0.35">
      <c r="B27" s="16" t="s">
        <v>70</v>
      </c>
      <c r="C27" s="67">
        <f>Budget!B27</f>
        <v>10000</v>
      </c>
      <c r="D27" s="141">
        <f>Budget!C27</f>
        <v>3</v>
      </c>
      <c r="E27" s="141">
        <f>Budget!D27</f>
        <v>0</v>
      </c>
      <c r="F27" s="152">
        <f>Budget!E27</f>
        <v>0</v>
      </c>
      <c r="G27" s="150">
        <f>Budget!F27</f>
        <v>0</v>
      </c>
      <c r="H27" s="150">
        <f>Budget!G27</f>
        <v>0</v>
      </c>
      <c r="I27" s="150">
        <f>Budget!H27</f>
        <v>0</v>
      </c>
      <c r="J27" s="150">
        <f>Budget!I27</f>
        <v>0</v>
      </c>
      <c r="K27" s="150">
        <f>Budget!J27</f>
        <v>0</v>
      </c>
    </row>
    <row r="28" spans="2:11" ht="44" thickBot="1" x14ac:dyDescent="0.4">
      <c r="B28" s="98" t="s">
        <v>71</v>
      </c>
      <c r="C28" s="69">
        <f>Budget!B28</f>
        <v>1000</v>
      </c>
      <c r="D28" s="142">
        <f>Budget!C28</f>
        <v>5</v>
      </c>
      <c r="E28" s="142">
        <f>Budget!D28</f>
        <v>1</v>
      </c>
      <c r="F28" s="153">
        <f>Budget!E28</f>
        <v>0</v>
      </c>
      <c r="G28" s="154">
        <f>Budget!F28</f>
        <v>1000</v>
      </c>
      <c r="H28" s="154">
        <f>Budget!G28</f>
        <v>0</v>
      </c>
      <c r="I28" s="154">
        <f>Budget!H28</f>
        <v>0</v>
      </c>
      <c r="J28" s="154">
        <f>Budget!I28</f>
        <v>0</v>
      </c>
      <c r="K28" s="154">
        <f>Budget!J28</f>
        <v>0</v>
      </c>
    </row>
    <row r="29" spans="2:11" x14ac:dyDescent="0.35">
      <c r="B29" s="5" t="s">
        <v>45</v>
      </c>
      <c r="C29" s="6"/>
      <c r="D29" s="7"/>
      <c r="E29" s="7"/>
      <c r="F29" s="15"/>
      <c r="G29" s="15">
        <f>SUM(G22:G28)</f>
        <v>1828</v>
      </c>
      <c r="H29" s="15">
        <f>SUM(H22:H28)</f>
        <v>595</v>
      </c>
      <c r="I29" s="15">
        <f>SUM(I22:I28)</f>
        <v>614</v>
      </c>
      <c r="J29" s="15">
        <f>SUM(J22:J28)</f>
        <v>904</v>
      </c>
      <c r="K29" s="15">
        <f>SUM(K22:K28)</f>
        <v>651</v>
      </c>
    </row>
    <row r="30" spans="2:11" x14ac:dyDescent="0.35">
      <c r="B30" s="1"/>
      <c r="C30" s="1"/>
      <c r="D30" s="1"/>
      <c r="E30" s="4"/>
      <c r="F30" s="1"/>
      <c r="G30" s="1"/>
      <c r="H30" s="1"/>
      <c r="I30" s="1"/>
      <c r="J30" s="1"/>
      <c r="K30" s="1"/>
    </row>
    <row r="31" spans="2:11" x14ac:dyDescent="0.35">
      <c r="B31" s="107"/>
      <c r="C31" s="107"/>
      <c r="D31" s="107"/>
      <c r="E31" s="4"/>
      <c r="F31" s="1"/>
      <c r="G31" s="1"/>
      <c r="H31" s="1"/>
      <c r="I31" s="1"/>
      <c r="J31" s="1"/>
      <c r="K31" s="1"/>
    </row>
    <row r="32" spans="2:11" x14ac:dyDescent="0.35">
      <c r="B32" s="107"/>
      <c r="C32" s="107"/>
      <c r="D32" s="107"/>
      <c r="E32" s="4"/>
      <c r="F32" s="1"/>
      <c r="G32" s="1"/>
      <c r="H32" s="1"/>
      <c r="I32" s="1"/>
      <c r="J32" s="1"/>
      <c r="K32" s="1"/>
    </row>
    <row r="33" spans="2:11" x14ac:dyDescent="0.35">
      <c r="B33" s="107"/>
      <c r="C33" s="107"/>
      <c r="D33" s="107"/>
      <c r="E33" s="4"/>
      <c r="F33" s="1"/>
      <c r="G33" s="1"/>
      <c r="H33" s="1"/>
      <c r="I33" s="1"/>
      <c r="J33" s="1"/>
      <c r="K33" s="1"/>
    </row>
    <row r="34" spans="2:11" x14ac:dyDescent="0.35">
      <c r="B34" s="107"/>
      <c r="C34" s="107"/>
      <c r="D34" s="107"/>
      <c r="E34" s="4"/>
      <c r="F34" s="1"/>
      <c r="G34" s="1"/>
      <c r="H34" s="1"/>
      <c r="I34" s="1"/>
      <c r="J34" s="1"/>
      <c r="K34" s="1"/>
    </row>
    <row r="35" spans="2:11" x14ac:dyDescent="0.35">
      <c r="B35" s="107"/>
      <c r="C35" s="107"/>
      <c r="D35" s="107"/>
      <c r="E35" s="4"/>
      <c r="F35" s="1"/>
      <c r="G35" s="1"/>
      <c r="H35" s="1"/>
      <c r="I35" s="1"/>
      <c r="J35" s="1"/>
      <c r="K35" s="1"/>
    </row>
    <row r="36" spans="2:11" x14ac:dyDescent="0.35">
      <c r="B36" s="107"/>
      <c r="C36" s="107"/>
      <c r="D36" s="107"/>
      <c r="E36" s="4"/>
      <c r="F36" s="1"/>
      <c r="G36" s="1"/>
      <c r="H36" s="1"/>
      <c r="I36" s="1"/>
      <c r="J36" s="1"/>
      <c r="K36" s="1"/>
    </row>
    <row r="37" spans="2:11" ht="18.5" x14ac:dyDescent="0.45">
      <c r="B37" s="236" t="s">
        <v>14</v>
      </c>
      <c r="C37" s="236"/>
      <c r="D37" s="236"/>
      <c r="E37" s="236"/>
      <c r="F37" s="236"/>
      <c r="G37" s="236"/>
      <c r="H37" s="236"/>
      <c r="I37" s="236"/>
      <c r="J37" s="1"/>
      <c r="K37" s="1"/>
    </row>
    <row r="38" spans="2:11" ht="44" thickBot="1" x14ac:dyDescent="0.4">
      <c r="B38" s="33" t="s">
        <v>13</v>
      </c>
      <c r="C38" s="23" t="s">
        <v>107</v>
      </c>
      <c r="D38" s="122" t="s">
        <v>110</v>
      </c>
      <c r="E38" s="34" t="s">
        <v>3</v>
      </c>
      <c r="F38" s="33" t="s">
        <v>4</v>
      </c>
      <c r="G38" s="33" t="s">
        <v>5</v>
      </c>
      <c r="H38" s="33" t="s">
        <v>6</v>
      </c>
      <c r="I38" s="33" t="s">
        <v>7</v>
      </c>
      <c r="J38" s="1"/>
      <c r="K38" s="1"/>
    </row>
    <row r="39" spans="2:11" x14ac:dyDescent="0.35">
      <c r="B39" s="41" t="s">
        <v>14</v>
      </c>
      <c r="C39" s="1"/>
      <c r="D39" s="1"/>
      <c r="E39" s="32"/>
      <c r="F39" s="9"/>
      <c r="G39" s="9"/>
      <c r="H39" s="9"/>
      <c r="I39" s="102"/>
      <c r="J39" s="1"/>
      <c r="K39" s="1"/>
    </row>
    <row r="40" spans="2:11" x14ac:dyDescent="0.35">
      <c r="B40" s="25" t="s">
        <v>15</v>
      </c>
      <c r="C40" s="115">
        <f>F5</f>
        <v>1000000</v>
      </c>
      <c r="D40" s="118">
        <f>I5</f>
        <v>6.0000000000000001E-3</v>
      </c>
      <c r="E40" s="119">
        <f>C40*D40</f>
        <v>6000</v>
      </c>
      <c r="F40" s="30">
        <v>6000</v>
      </c>
      <c r="G40" s="30">
        <v>6000</v>
      </c>
      <c r="H40" s="30">
        <v>6000</v>
      </c>
      <c r="I40" s="30">
        <v>6000</v>
      </c>
      <c r="J40" s="12"/>
      <c r="K40" s="12"/>
    </row>
    <row r="41" spans="2:11" x14ac:dyDescent="0.35">
      <c r="B41" s="16" t="s">
        <v>108</v>
      </c>
      <c r="C41" s="116">
        <f>F17+F18</f>
        <v>752</v>
      </c>
      <c r="D41" s="67">
        <f>Budget!C35</f>
        <v>2</v>
      </c>
      <c r="E41" s="125">
        <f>C41*D41</f>
        <v>1504</v>
      </c>
      <c r="F41" s="29">
        <f>ROUND(E41+E41*0.03,0)</f>
        <v>1549</v>
      </c>
      <c r="G41" s="29">
        <f>ROUND(F41+F41*0.03,0)</f>
        <v>1595</v>
      </c>
      <c r="H41" s="29">
        <f t="shared" ref="H41:I52" si="0">ROUND(G41+G41*0.03,0)</f>
        <v>1643</v>
      </c>
      <c r="I41" s="29">
        <f t="shared" si="0"/>
        <v>1692</v>
      </c>
      <c r="J41" s="1"/>
      <c r="K41" s="1"/>
    </row>
    <row r="42" spans="2:11" x14ac:dyDescent="0.35">
      <c r="B42" s="16" t="s">
        <v>16</v>
      </c>
      <c r="C42" s="131">
        <f>Budget!B36</f>
        <v>205</v>
      </c>
      <c r="D42" s="67">
        <f>Budget!C36</f>
        <v>3.5</v>
      </c>
      <c r="E42" s="125">
        <f>C42*D42</f>
        <v>717.5</v>
      </c>
      <c r="F42" s="29">
        <f t="shared" ref="F42:G48" si="1">ROUND(E42+E42*0.03,0)</f>
        <v>739</v>
      </c>
      <c r="G42" s="29">
        <f t="shared" si="1"/>
        <v>761</v>
      </c>
      <c r="H42" s="29">
        <f t="shared" si="0"/>
        <v>784</v>
      </c>
      <c r="I42" s="29">
        <f t="shared" si="0"/>
        <v>808</v>
      </c>
      <c r="J42" s="1"/>
      <c r="K42" s="1"/>
    </row>
    <row r="43" spans="2:11" x14ac:dyDescent="0.35">
      <c r="B43" s="16" t="s">
        <v>17</v>
      </c>
      <c r="C43" s="131">
        <f>Budget!B37</f>
        <v>205</v>
      </c>
      <c r="D43" s="67">
        <f>Budget!C37</f>
        <v>3.5</v>
      </c>
      <c r="E43" s="125">
        <f>C43*D43</f>
        <v>717.5</v>
      </c>
      <c r="F43" s="29">
        <f t="shared" si="1"/>
        <v>739</v>
      </c>
      <c r="G43" s="29">
        <f t="shared" si="1"/>
        <v>761</v>
      </c>
      <c r="H43" s="29">
        <f t="shared" si="0"/>
        <v>784</v>
      </c>
      <c r="I43" s="29">
        <f t="shared" si="0"/>
        <v>808</v>
      </c>
      <c r="J43" s="1"/>
      <c r="K43" s="1"/>
    </row>
    <row r="44" spans="2:11" x14ac:dyDescent="0.35">
      <c r="B44" s="16" t="s">
        <v>18</v>
      </c>
      <c r="C44" s="164">
        <f>Budget!B38</f>
        <v>1</v>
      </c>
      <c r="D44" s="67">
        <f>Budget!C38</f>
        <v>100</v>
      </c>
      <c r="E44" s="125">
        <f>C44*D44</f>
        <v>100</v>
      </c>
      <c r="F44" s="29">
        <f t="shared" si="1"/>
        <v>103</v>
      </c>
      <c r="G44" s="29">
        <f t="shared" si="1"/>
        <v>106</v>
      </c>
      <c r="H44" s="29">
        <f t="shared" si="0"/>
        <v>109</v>
      </c>
      <c r="I44" s="29">
        <f t="shared" si="0"/>
        <v>112</v>
      </c>
      <c r="J44" s="1"/>
      <c r="K44" s="1"/>
    </row>
    <row r="45" spans="2:11" x14ac:dyDescent="0.35">
      <c r="B45" s="16" t="s">
        <v>77</v>
      </c>
      <c r="C45" s="121"/>
      <c r="D45" s="67">
        <f>Budget!C39</f>
        <v>2800</v>
      </c>
      <c r="E45" s="125">
        <f>D45</f>
        <v>2800</v>
      </c>
      <c r="F45" s="29">
        <f t="shared" si="1"/>
        <v>2884</v>
      </c>
      <c r="G45" s="29">
        <f t="shared" si="1"/>
        <v>2971</v>
      </c>
      <c r="H45" s="29">
        <f t="shared" si="0"/>
        <v>3060</v>
      </c>
      <c r="I45" s="29">
        <f t="shared" si="0"/>
        <v>3152</v>
      </c>
      <c r="J45" s="1"/>
      <c r="K45" s="1"/>
    </row>
    <row r="46" spans="2:11" x14ac:dyDescent="0.35">
      <c r="B46" s="16" t="s">
        <v>78</v>
      </c>
      <c r="C46" s="120">
        <f>ROUND(0.75*F17+0.9*F18,0)</f>
        <v>662</v>
      </c>
      <c r="D46" s="67">
        <f>Budget!C40</f>
        <v>1.25</v>
      </c>
      <c r="E46" s="125">
        <f>C46*D46</f>
        <v>827.5</v>
      </c>
      <c r="F46" s="29">
        <f t="shared" si="1"/>
        <v>852</v>
      </c>
      <c r="G46" s="29">
        <f t="shared" si="1"/>
        <v>878</v>
      </c>
      <c r="H46" s="29">
        <f t="shared" si="0"/>
        <v>904</v>
      </c>
      <c r="I46" s="29">
        <f t="shared" si="0"/>
        <v>931</v>
      </c>
      <c r="J46" s="1"/>
      <c r="K46" s="1"/>
    </row>
    <row r="47" spans="2:11" x14ac:dyDescent="0.35">
      <c r="B47" s="16" t="s">
        <v>111</v>
      </c>
      <c r="C47" s="120"/>
      <c r="D47" s="67">
        <f>Budget!C41</f>
        <v>4400</v>
      </c>
      <c r="E47" s="125">
        <f>D47</f>
        <v>4400</v>
      </c>
      <c r="F47" s="119">
        <f t="shared" si="1"/>
        <v>4532</v>
      </c>
      <c r="G47" s="119">
        <f t="shared" si="1"/>
        <v>4668</v>
      </c>
      <c r="H47" s="119">
        <f t="shared" si="0"/>
        <v>4808</v>
      </c>
      <c r="I47" s="119">
        <f t="shared" si="0"/>
        <v>4952</v>
      </c>
      <c r="J47" s="1"/>
      <c r="K47" s="1"/>
    </row>
    <row r="48" spans="2:11" x14ac:dyDescent="0.35">
      <c r="B48" s="16" t="s">
        <v>66</v>
      </c>
      <c r="C48" s="120"/>
      <c r="D48" s="67">
        <f>Budget!C42</f>
        <v>250</v>
      </c>
      <c r="E48" s="125">
        <f>D48</f>
        <v>250</v>
      </c>
      <c r="F48" s="29">
        <f t="shared" si="1"/>
        <v>258</v>
      </c>
      <c r="G48" s="29">
        <f t="shared" si="1"/>
        <v>266</v>
      </c>
      <c r="H48" s="29">
        <f t="shared" si="0"/>
        <v>274</v>
      </c>
      <c r="I48" s="29">
        <f t="shared" si="0"/>
        <v>282</v>
      </c>
      <c r="J48" s="1"/>
      <c r="K48" s="1"/>
    </row>
    <row r="49" spans="2:11" x14ac:dyDescent="0.35">
      <c r="B49" s="42" t="s">
        <v>68</v>
      </c>
      <c r="C49" s="114"/>
      <c r="D49" s="114"/>
      <c r="E49" s="126"/>
      <c r="F49" s="35"/>
      <c r="G49" s="35"/>
      <c r="H49" s="35"/>
      <c r="I49" s="36"/>
      <c r="J49" s="12"/>
      <c r="K49" s="12"/>
    </row>
    <row r="50" spans="2:11" x14ac:dyDescent="0.35">
      <c r="B50" s="16" t="s">
        <v>48</v>
      </c>
      <c r="C50" s="47">
        <f>Budget!B44</f>
        <v>1</v>
      </c>
      <c r="D50" s="47">
        <f>Budget!C44</f>
        <v>750</v>
      </c>
      <c r="E50" s="127">
        <v>750</v>
      </c>
      <c r="F50" s="29">
        <f>ROUND(E50+E50*0.03,0)</f>
        <v>773</v>
      </c>
      <c r="G50" s="29">
        <f>ROUND(F50+F50*0.03,0)</f>
        <v>796</v>
      </c>
      <c r="H50" s="29">
        <f t="shared" si="0"/>
        <v>820</v>
      </c>
      <c r="I50" s="29">
        <f t="shared" si="0"/>
        <v>845</v>
      </c>
      <c r="J50" s="1"/>
      <c r="K50" s="1"/>
    </row>
    <row r="51" spans="2:11" x14ac:dyDescent="0.35">
      <c r="B51" s="16" t="s">
        <v>49</v>
      </c>
      <c r="C51" s="47">
        <f>Budget!B45</f>
        <v>1</v>
      </c>
      <c r="D51" s="47">
        <f>Budget!C45</f>
        <v>250</v>
      </c>
      <c r="E51" s="127">
        <v>250</v>
      </c>
      <c r="F51" s="29">
        <v>250</v>
      </c>
      <c r="G51" s="29">
        <v>250</v>
      </c>
      <c r="H51" s="29">
        <v>250</v>
      </c>
      <c r="I51" s="29">
        <v>250</v>
      </c>
      <c r="J51" s="1"/>
      <c r="K51" s="1"/>
    </row>
    <row r="52" spans="2:11" x14ac:dyDescent="0.35">
      <c r="B52" s="16" t="s">
        <v>20</v>
      </c>
      <c r="C52" s="47">
        <f>Budget!B46</f>
        <v>1</v>
      </c>
      <c r="D52" s="47">
        <f>Budget!C46</f>
        <v>500</v>
      </c>
      <c r="E52" s="127">
        <v>500</v>
      </c>
      <c r="F52" s="29">
        <f>ROUND(E52+E52*0.03,0)</f>
        <v>515</v>
      </c>
      <c r="G52" s="29">
        <f>ROUND(F52+F52*0.03,0)</f>
        <v>530</v>
      </c>
      <c r="H52" s="29">
        <f t="shared" si="0"/>
        <v>546</v>
      </c>
      <c r="I52" s="29">
        <f t="shared" si="0"/>
        <v>562</v>
      </c>
      <c r="J52" s="1"/>
      <c r="K52" s="1"/>
    </row>
    <row r="53" spans="2:11" x14ac:dyDescent="0.35">
      <c r="B53" s="108" t="s">
        <v>104</v>
      </c>
      <c r="C53" s="130">
        <f>Budget!B47</f>
        <v>1</v>
      </c>
      <c r="D53" s="130">
        <f>Budget!C47</f>
        <v>27</v>
      </c>
      <c r="E53" s="128">
        <v>27</v>
      </c>
      <c r="F53" s="109">
        <v>27</v>
      </c>
      <c r="G53" s="109">
        <v>27</v>
      </c>
      <c r="H53" s="109">
        <v>27</v>
      </c>
      <c r="I53" s="109">
        <v>27</v>
      </c>
      <c r="J53" s="1"/>
      <c r="K53" s="1"/>
    </row>
    <row r="54" spans="2:11" ht="16" thickBot="1" x14ac:dyDescent="0.4">
      <c r="B54" s="27" t="s">
        <v>21</v>
      </c>
      <c r="C54" s="48">
        <f>Budget!B48</f>
        <v>1</v>
      </c>
      <c r="D54" s="48">
        <f>Budget!C48</f>
        <v>100</v>
      </c>
      <c r="E54" s="129">
        <v>100</v>
      </c>
      <c r="F54" s="110">
        <v>100</v>
      </c>
      <c r="G54" s="110">
        <v>100</v>
      </c>
      <c r="H54" s="110">
        <v>100</v>
      </c>
      <c r="I54" s="110">
        <v>100</v>
      </c>
      <c r="J54" s="1"/>
      <c r="K54" s="1"/>
    </row>
    <row r="55" spans="2:11" x14ac:dyDescent="0.35">
      <c r="B55" s="3" t="s">
        <v>22</v>
      </c>
      <c r="C55" s="3"/>
      <c r="D55" s="3"/>
      <c r="E55" s="10">
        <f>SUM(E40:E54)</f>
        <v>18943.5</v>
      </c>
      <c r="F55" s="10">
        <f>SUM(F40:F54)</f>
        <v>19321</v>
      </c>
      <c r="G55" s="10">
        <f>SUM(G40:G54)</f>
        <v>19709</v>
      </c>
      <c r="H55" s="10">
        <f>SUM(H40:H54)</f>
        <v>20109</v>
      </c>
      <c r="I55" s="10">
        <f>SUM(I40:I54)</f>
        <v>20521</v>
      </c>
      <c r="J55" s="1"/>
      <c r="K55" s="1"/>
    </row>
    <row r="56" spans="2:11" x14ac:dyDescent="0.35">
      <c r="B56" s="3"/>
      <c r="C56" s="3"/>
      <c r="D56" s="3"/>
      <c r="E56" s="10"/>
      <c r="F56" s="10"/>
      <c r="G56" s="10"/>
      <c r="H56" s="10"/>
      <c r="I56" s="10"/>
      <c r="J56" s="1"/>
      <c r="K56" s="1"/>
    </row>
    <row r="57" spans="2:11" x14ac:dyDescent="0.35">
      <c r="B57" s="3"/>
      <c r="C57" s="3"/>
      <c r="D57" s="3"/>
      <c r="E57" s="10"/>
      <c r="F57" s="10"/>
      <c r="G57" s="10"/>
      <c r="H57" s="10"/>
      <c r="I57" s="10"/>
      <c r="J57" s="1"/>
      <c r="K57" s="1"/>
    </row>
    <row r="58" spans="2:11" x14ac:dyDescent="0.35">
      <c r="B58" s="1"/>
      <c r="C58" s="1"/>
      <c r="D58" s="1"/>
      <c r="E58" s="8"/>
      <c r="F58" s="8"/>
      <c r="G58" s="8"/>
      <c r="H58" s="8"/>
      <c r="I58" s="8"/>
      <c r="J58" s="1"/>
      <c r="K58" s="1"/>
    </row>
    <row r="59" spans="2:11" ht="18.5" x14ac:dyDescent="0.45">
      <c r="B59" s="236" t="s">
        <v>76</v>
      </c>
      <c r="C59" s="236"/>
      <c r="D59" s="236"/>
      <c r="E59" s="236"/>
      <c r="F59" s="236"/>
      <c r="G59" s="236"/>
      <c r="H59" s="236"/>
      <c r="I59" s="236"/>
      <c r="J59" s="1"/>
      <c r="K59" s="1"/>
    </row>
    <row r="60" spans="2:11" ht="16" thickBot="1" x14ac:dyDescent="0.4">
      <c r="B60" s="37"/>
      <c r="C60" s="34" t="s">
        <v>3</v>
      </c>
      <c r="D60" s="33" t="s">
        <v>4</v>
      </c>
      <c r="E60" s="33" t="s">
        <v>5</v>
      </c>
      <c r="F60" s="33" t="s">
        <v>6</v>
      </c>
      <c r="G60" s="33" t="s">
        <v>7</v>
      </c>
      <c r="H60" s="1"/>
      <c r="I60" s="1"/>
      <c r="J60" s="1"/>
      <c r="K60" s="1"/>
    </row>
    <row r="61" spans="2:11" x14ac:dyDescent="0.35">
      <c r="B61" s="25" t="s">
        <v>23</v>
      </c>
      <c r="C61" s="155">
        <f>Budget!$B$56</f>
        <v>0</v>
      </c>
      <c r="D61" s="39">
        <f>C68</f>
        <v>39528.500000000007</v>
      </c>
      <c r="E61" s="39">
        <f>D68</f>
        <v>79912.500000000015</v>
      </c>
      <c r="F61" s="39">
        <f>E68</f>
        <v>119889.50000000003</v>
      </c>
      <c r="G61" s="39">
        <f>F68</f>
        <v>159176.50000000003</v>
      </c>
      <c r="H61" s="1"/>
      <c r="I61" s="1"/>
      <c r="J61" s="1"/>
      <c r="K61" s="1"/>
    </row>
    <row r="62" spans="2:11" x14ac:dyDescent="0.35">
      <c r="B62" s="16" t="s">
        <v>24</v>
      </c>
      <c r="C62" s="38">
        <f>F90</f>
        <v>60300.000000000007</v>
      </c>
      <c r="D62" s="38">
        <f>F90</f>
        <v>60300.000000000007</v>
      </c>
      <c r="E62" s="38">
        <f>F90</f>
        <v>60300.000000000007</v>
      </c>
      <c r="F62" s="38">
        <f>F90</f>
        <v>60300.000000000007</v>
      </c>
      <c r="G62" s="38">
        <f>F90</f>
        <v>60300.000000000007</v>
      </c>
      <c r="H62" s="1"/>
      <c r="I62" s="1"/>
      <c r="J62" s="1"/>
      <c r="K62" s="1"/>
    </row>
    <row r="63" spans="2:11" x14ac:dyDescent="0.35">
      <c r="B63" s="16" t="s">
        <v>25</v>
      </c>
      <c r="C63" s="38"/>
      <c r="D63" s="38"/>
      <c r="E63" s="38"/>
      <c r="F63" s="38"/>
      <c r="G63" s="38"/>
      <c r="H63" s="1"/>
      <c r="I63" s="1"/>
      <c r="J63" s="1"/>
      <c r="K63" s="1"/>
    </row>
    <row r="64" spans="2:11" x14ac:dyDescent="0.35">
      <c r="B64" s="16" t="s">
        <v>64</v>
      </c>
      <c r="C64" s="38">
        <f>E55</f>
        <v>18943.5</v>
      </c>
      <c r="D64" s="38">
        <f>F55</f>
        <v>19321</v>
      </c>
      <c r="E64" s="38">
        <f>G55</f>
        <v>19709</v>
      </c>
      <c r="F64" s="38">
        <f>H55</f>
        <v>20109</v>
      </c>
      <c r="G64" s="38">
        <f>I55</f>
        <v>20521</v>
      </c>
      <c r="H64" s="1"/>
      <c r="I64" s="1"/>
      <c r="J64" s="1"/>
      <c r="K64" s="1"/>
    </row>
    <row r="65" spans="2:11" x14ac:dyDescent="0.35">
      <c r="B65" s="16" t="s">
        <v>65</v>
      </c>
      <c r="C65" s="38">
        <f>G29</f>
        <v>1828</v>
      </c>
      <c r="D65" s="38">
        <f>H29</f>
        <v>595</v>
      </c>
      <c r="E65" s="38">
        <f>I29</f>
        <v>614</v>
      </c>
      <c r="F65" s="38">
        <f>J29</f>
        <v>904</v>
      </c>
      <c r="G65" s="38">
        <f>K29</f>
        <v>651</v>
      </c>
      <c r="H65" s="1"/>
      <c r="I65" s="1"/>
      <c r="J65" s="1"/>
      <c r="K65" s="1"/>
    </row>
    <row r="66" spans="2:11" x14ac:dyDescent="0.35">
      <c r="B66" s="16" t="s">
        <v>28</v>
      </c>
      <c r="C66" s="38">
        <f>C64+C65</f>
        <v>20771.5</v>
      </c>
      <c r="D66" s="38">
        <f>D64+D65</f>
        <v>19916</v>
      </c>
      <c r="E66" s="38">
        <f>E64+E65</f>
        <v>20323</v>
      </c>
      <c r="F66" s="38">
        <f>F64+F65</f>
        <v>21013</v>
      </c>
      <c r="G66" s="38">
        <f>G64+G65</f>
        <v>21172</v>
      </c>
      <c r="H66" s="1"/>
      <c r="I66" s="1"/>
      <c r="J66" s="1"/>
      <c r="K66" s="1"/>
    </row>
    <row r="67" spans="2:11" x14ac:dyDescent="0.35">
      <c r="B67" s="16" t="s">
        <v>26</v>
      </c>
      <c r="C67" s="38">
        <f>C62-C66</f>
        <v>39528.500000000007</v>
      </c>
      <c r="D67" s="38">
        <f>D62-D66</f>
        <v>40384.000000000007</v>
      </c>
      <c r="E67" s="38">
        <f>E62-E66</f>
        <v>39977.000000000007</v>
      </c>
      <c r="F67" s="38">
        <f>F62-F66</f>
        <v>39287.000000000007</v>
      </c>
      <c r="G67" s="38">
        <f>G62-G66</f>
        <v>39128.000000000007</v>
      </c>
      <c r="H67" s="1"/>
      <c r="I67" s="1"/>
      <c r="J67" s="1"/>
      <c r="K67" s="1"/>
    </row>
    <row r="68" spans="2:11" x14ac:dyDescent="0.35">
      <c r="B68" s="16" t="s">
        <v>27</v>
      </c>
      <c r="C68" s="38">
        <f>C61+C67</f>
        <v>39528.500000000007</v>
      </c>
      <c r="D68" s="38">
        <f>D61+D67</f>
        <v>79912.500000000015</v>
      </c>
      <c r="E68" s="38">
        <f>E61+E67</f>
        <v>119889.50000000003</v>
      </c>
      <c r="F68" s="38">
        <f>F61+F67</f>
        <v>159176.50000000003</v>
      </c>
      <c r="G68" s="38">
        <f>G61+G67</f>
        <v>198304.50000000003</v>
      </c>
      <c r="H68" s="1"/>
      <c r="I68" s="1"/>
      <c r="J68" s="1"/>
      <c r="K68" s="1"/>
    </row>
    <row r="69" spans="2:11" x14ac:dyDescent="0.35">
      <c r="B69" s="7"/>
      <c r="C69" s="7"/>
      <c r="D69" s="7"/>
      <c r="E69" s="40"/>
      <c r="F69" s="40"/>
      <c r="G69" s="40"/>
      <c r="H69" s="40"/>
      <c r="I69" s="40"/>
      <c r="J69" s="1"/>
      <c r="K69" s="1"/>
    </row>
    <row r="70" spans="2:11" ht="21.5" x14ac:dyDescent="0.75">
      <c r="B70" s="107"/>
      <c r="C70" s="107"/>
      <c r="D70" s="107"/>
      <c r="E70" s="244" t="s">
        <v>118</v>
      </c>
      <c r="F70" s="244"/>
      <c r="G70" s="1"/>
      <c r="H70" s="1"/>
      <c r="I70" s="1"/>
      <c r="J70" s="1"/>
      <c r="K70" s="1"/>
    </row>
    <row r="71" spans="2:11" x14ac:dyDescent="0.35">
      <c r="B71" s="107"/>
      <c r="C71" s="107"/>
      <c r="D71" s="107"/>
      <c r="E71" s="145"/>
      <c r="F71" s="145"/>
      <c r="G71" s="1"/>
      <c r="H71" s="1"/>
      <c r="I71" s="1"/>
      <c r="J71" s="1"/>
      <c r="K71" s="1"/>
    </row>
    <row r="72" spans="2:11" ht="16" thickBot="1" x14ac:dyDescent="0.4">
      <c r="B72" s="23" t="str">
        <f>Budget!A68</f>
        <v>Capital Item</v>
      </c>
      <c r="C72" s="34" t="str">
        <f>Budget!B68</f>
        <v>Unit Cost</v>
      </c>
      <c r="D72" s="33" t="str">
        <f>Budget!C68</f>
        <v>Years of Life</v>
      </c>
      <c r="E72" s="33" t="str">
        <f>Budget!D68</f>
        <v>Year 1</v>
      </c>
      <c r="F72" s="33" t="str">
        <f>Budget!E68</f>
        <v>Year 2</v>
      </c>
      <c r="G72" s="33" t="str">
        <f>Budget!F68</f>
        <v>Year 3</v>
      </c>
      <c r="H72" s="33" t="str">
        <f>Budget!G68</f>
        <v>Year 4</v>
      </c>
      <c r="I72" s="33" t="str">
        <f>Budget!H68</f>
        <v>Year 5</v>
      </c>
      <c r="J72" s="1"/>
      <c r="K72" s="1"/>
    </row>
    <row r="73" spans="2:11" x14ac:dyDescent="0.35">
      <c r="B73" s="25" t="str">
        <f>Budget!A69</f>
        <v>Nursery Bag</v>
      </c>
      <c r="C73" s="144">
        <f>Budget!B69</f>
        <v>7</v>
      </c>
      <c r="D73" s="140">
        <f>Budget!C69</f>
        <v>4</v>
      </c>
      <c r="E73" s="26">
        <f>Budget!D69</f>
        <v>175</v>
      </c>
      <c r="F73" s="26">
        <f>Budget!E69</f>
        <v>180</v>
      </c>
      <c r="G73" s="26">
        <f>Budget!F69</f>
        <v>185</v>
      </c>
      <c r="H73" s="26">
        <f>Budget!G69</f>
        <v>191</v>
      </c>
      <c r="I73" s="26">
        <f>Budget!H69</f>
        <v>197</v>
      </c>
      <c r="J73" s="1"/>
      <c r="K73" s="1"/>
    </row>
    <row r="74" spans="2:11" x14ac:dyDescent="0.35">
      <c r="B74" s="16" t="str">
        <f>Budget!A70</f>
        <v>Growout Bag</v>
      </c>
      <c r="C74" s="144">
        <f>Budget!B70</f>
        <v>6.2</v>
      </c>
      <c r="D74" s="141">
        <f>Budget!C70</f>
        <v>10</v>
      </c>
      <c r="E74" s="26">
        <f>Budget!D70</f>
        <v>404</v>
      </c>
      <c r="F74" s="26">
        <f>Budget!E70</f>
        <v>416</v>
      </c>
      <c r="G74" s="26">
        <f>Budget!F70</f>
        <v>428</v>
      </c>
      <c r="H74" s="26">
        <f>Budget!G70</f>
        <v>441</v>
      </c>
      <c r="I74" s="26">
        <f>Budget!H70</f>
        <v>454</v>
      </c>
      <c r="J74" s="1"/>
      <c r="K74" s="1"/>
    </row>
    <row r="75" spans="2:11" x14ac:dyDescent="0.35">
      <c r="B75" s="16" t="str">
        <f>Budget!A71</f>
        <v>Wet Suit</v>
      </c>
      <c r="C75" s="144">
        <f>Budget!B71</f>
        <v>250</v>
      </c>
      <c r="D75" s="141">
        <f>Budget!C71</f>
        <v>3</v>
      </c>
      <c r="E75" s="24">
        <f>Budget!D71</f>
        <v>83.333333333333329</v>
      </c>
      <c r="F75" s="24">
        <f>Budget!E71</f>
        <v>86</v>
      </c>
      <c r="G75" s="24">
        <f>Budget!F71</f>
        <v>89</v>
      </c>
      <c r="H75" s="24">
        <f>Budget!G71</f>
        <v>92</v>
      </c>
      <c r="I75" s="24">
        <f>Budget!H71</f>
        <v>95</v>
      </c>
      <c r="J75" s="1"/>
      <c r="K75" s="1"/>
    </row>
    <row r="76" spans="2:11" x14ac:dyDescent="0.35">
      <c r="B76" s="16" t="str">
        <f>Budget!A72</f>
        <v>Boat</v>
      </c>
      <c r="C76" s="144">
        <f>Budget!B72</f>
        <v>18000</v>
      </c>
      <c r="D76" s="141">
        <f>Budget!C72</f>
        <v>7</v>
      </c>
      <c r="E76" s="24">
        <f>Budget!D72</f>
        <v>0</v>
      </c>
      <c r="F76" s="24">
        <f>Budget!E72</f>
        <v>0</v>
      </c>
      <c r="G76" s="24">
        <f>Budget!F72</f>
        <v>0</v>
      </c>
      <c r="H76" s="24">
        <f>Budget!G72</f>
        <v>0</v>
      </c>
      <c r="I76" s="24">
        <f>Budget!H72</f>
        <v>0</v>
      </c>
      <c r="J76" s="1"/>
      <c r="K76" s="1"/>
    </row>
    <row r="77" spans="2:11" x14ac:dyDescent="0.35">
      <c r="B77" s="16" t="str">
        <f>Budget!A73</f>
        <v>Truck</v>
      </c>
      <c r="C77" s="144">
        <f>Budget!B73</f>
        <v>28000</v>
      </c>
      <c r="D77" s="141">
        <f>Budget!C73</f>
        <v>10</v>
      </c>
      <c r="E77" s="24">
        <f>Budget!D73</f>
        <v>0</v>
      </c>
      <c r="F77" s="24">
        <f>Budget!E73</f>
        <v>0</v>
      </c>
      <c r="G77" s="24">
        <f>Budget!F73</f>
        <v>0</v>
      </c>
      <c r="H77" s="24">
        <f>Budget!G73</f>
        <v>0</v>
      </c>
      <c r="I77" s="24">
        <f>Budget!H73</f>
        <v>0</v>
      </c>
      <c r="J77" s="1"/>
      <c r="K77" s="1"/>
    </row>
    <row r="78" spans="2:11" x14ac:dyDescent="0.35">
      <c r="B78" s="16" t="str">
        <f>Budget!A74</f>
        <v>Motor</v>
      </c>
      <c r="C78" s="144">
        <f>Budget!B74</f>
        <v>10000</v>
      </c>
      <c r="D78" s="141">
        <f>Budget!C74</f>
        <v>3</v>
      </c>
      <c r="E78" s="24">
        <f>Budget!D74</f>
        <v>0</v>
      </c>
      <c r="F78" s="24">
        <f>Budget!E74</f>
        <v>0</v>
      </c>
      <c r="G78" s="24">
        <f>Budget!F74</f>
        <v>0</v>
      </c>
      <c r="H78" s="24">
        <f>Budget!G74</f>
        <v>0</v>
      </c>
      <c r="I78" s="24">
        <f>Budget!H74</f>
        <v>0</v>
      </c>
      <c r="J78" s="1"/>
      <c r="K78" s="1"/>
    </row>
    <row r="79" spans="2:11" ht="44" thickBot="1" x14ac:dyDescent="0.4">
      <c r="B79" s="98" t="str">
        <f>Budget!A75</f>
        <v>Winch/Davit/Boom/Pulley/Batteries</v>
      </c>
      <c r="C79" s="129">
        <f>Budget!B75</f>
        <v>1000</v>
      </c>
      <c r="D79" s="142">
        <f>Budget!C75</f>
        <v>5</v>
      </c>
      <c r="E79" s="28">
        <f>Budget!D75</f>
        <v>200</v>
      </c>
      <c r="F79" s="28">
        <f>Budget!E75</f>
        <v>206</v>
      </c>
      <c r="G79" s="28">
        <f>Budget!F75</f>
        <v>212</v>
      </c>
      <c r="H79" s="28">
        <f>Budget!G75</f>
        <v>218</v>
      </c>
      <c r="I79" s="28">
        <f>Budget!H75</f>
        <v>225</v>
      </c>
      <c r="J79" s="1"/>
      <c r="K79" s="1"/>
    </row>
    <row r="80" spans="2:11" x14ac:dyDescent="0.35">
      <c r="B80" s="5" t="str">
        <f>Budget!A76</f>
        <v xml:space="preserve">Total Investment </v>
      </c>
      <c r="C80" s="6">
        <f>Budget!B76</f>
        <v>0</v>
      </c>
      <c r="D80" s="7">
        <f>Budget!C76</f>
        <v>0</v>
      </c>
      <c r="E80" s="15">
        <f>Budget!D76</f>
        <v>862.33333333333337</v>
      </c>
      <c r="F80" s="15">
        <f>Budget!E76</f>
        <v>888</v>
      </c>
      <c r="G80" s="15">
        <f>Budget!F76</f>
        <v>914</v>
      </c>
      <c r="H80" s="15">
        <f>Budget!G76</f>
        <v>942</v>
      </c>
      <c r="I80" s="15">
        <f>Budget!H76</f>
        <v>971</v>
      </c>
      <c r="J80" s="1"/>
      <c r="K80" s="1"/>
    </row>
    <row r="81" spans="2:11" x14ac:dyDescent="0.35">
      <c r="B81" s="7"/>
      <c r="C81" s="7"/>
      <c r="D81" s="7"/>
      <c r="E81" s="40"/>
      <c r="F81" s="40"/>
      <c r="G81" s="40"/>
      <c r="H81" s="40"/>
      <c r="I81" s="40"/>
      <c r="J81" s="1"/>
      <c r="K81" s="1"/>
    </row>
    <row r="82" spans="2:11" x14ac:dyDescent="0.35">
      <c r="B82" s="1"/>
      <c r="C82" s="1"/>
      <c r="D82" s="1"/>
      <c r="E82" s="4"/>
      <c r="F82" s="1"/>
      <c r="G82" s="1"/>
      <c r="H82" s="1"/>
      <c r="I82" s="1"/>
      <c r="J82" s="1"/>
      <c r="K82" s="1"/>
    </row>
    <row r="83" spans="2:11" ht="18.5" x14ac:dyDescent="0.45">
      <c r="B83" s="236" t="s">
        <v>75</v>
      </c>
      <c r="C83" s="236"/>
      <c r="D83" s="236"/>
      <c r="E83" s="236"/>
      <c r="F83" s="236"/>
      <c r="G83" s="236"/>
      <c r="H83" s="143"/>
      <c r="I83" s="143"/>
      <c r="J83" s="1"/>
      <c r="K83" s="1"/>
    </row>
    <row r="84" spans="2:11" ht="16" thickBot="1" x14ac:dyDescent="0.4">
      <c r="B84" s="33" t="s">
        <v>29</v>
      </c>
      <c r="C84" s="33"/>
      <c r="D84" s="34" t="s">
        <v>30</v>
      </c>
      <c r="E84" s="33" t="s">
        <v>31</v>
      </c>
      <c r="F84" s="33" t="s">
        <v>32</v>
      </c>
      <c r="G84" s="1"/>
      <c r="H84" s="1"/>
      <c r="I84" s="1"/>
      <c r="J84" s="1"/>
      <c r="K84" s="1"/>
    </row>
    <row r="85" spans="2:11" x14ac:dyDescent="0.35">
      <c r="B85" s="31" t="s">
        <v>33</v>
      </c>
      <c r="C85" s="31"/>
      <c r="D85" s="6"/>
      <c r="E85" s="7"/>
      <c r="F85" s="7"/>
      <c r="G85" s="1"/>
      <c r="H85" s="1"/>
      <c r="I85" s="1"/>
      <c r="J85" s="1"/>
      <c r="K85" s="1"/>
    </row>
    <row r="86" spans="2:11" x14ac:dyDescent="0.35">
      <c r="B86" s="7" t="s">
        <v>34</v>
      </c>
      <c r="C86" s="7"/>
      <c r="D86" s="50">
        <f>F13*D90</f>
        <v>420000.00000000006</v>
      </c>
      <c r="E86" s="51">
        <f>I7</f>
        <v>0.11</v>
      </c>
      <c r="F86" s="11">
        <f>E86*D86</f>
        <v>46200.000000000007</v>
      </c>
      <c r="G86" s="1"/>
      <c r="H86" s="1"/>
      <c r="I86" s="1"/>
      <c r="J86" s="1"/>
      <c r="K86" s="1"/>
    </row>
    <row r="87" spans="2:11" x14ac:dyDescent="0.35">
      <c r="B87" s="7" t="s">
        <v>35</v>
      </c>
      <c r="C87" s="7"/>
      <c r="D87" s="50">
        <f>F14*D90</f>
        <v>120000.00000000003</v>
      </c>
      <c r="E87" s="51">
        <f>I8</f>
        <v>0.09</v>
      </c>
      <c r="F87" s="11">
        <f>E87*D87</f>
        <v>10800.000000000002</v>
      </c>
      <c r="G87" s="1"/>
      <c r="H87" s="1"/>
      <c r="I87" s="1"/>
      <c r="J87" s="1"/>
      <c r="K87" s="1"/>
    </row>
    <row r="88" spans="2:11" x14ac:dyDescent="0.35">
      <c r="B88" s="7" t="s">
        <v>36</v>
      </c>
      <c r="C88" s="7"/>
      <c r="D88" s="50">
        <f>F15*D90</f>
        <v>60000.000000000015</v>
      </c>
      <c r="E88" s="52">
        <f>I9</f>
        <v>5.5E-2</v>
      </c>
      <c r="F88" s="13">
        <f>E88*D88</f>
        <v>3300.0000000000009</v>
      </c>
      <c r="G88" s="1"/>
      <c r="H88" s="1"/>
      <c r="I88" s="1"/>
      <c r="J88" s="1"/>
      <c r="K88" s="1"/>
    </row>
    <row r="89" spans="2:11" x14ac:dyDescent="0.35">
      <c r="B89" s="261"/>
      <c r="C89" s="261"/>
      <c r="D89" s="261"/>
      <c r="E89" s="261"/>
      <c r="F89" s="261"/>
      <c r="G89" s="261"/>
      <c r="H89" s="1"/>
      <c r="I89" s="1"/>
      <c r="J89" s="1"/>
      <c r="K89" s="1"/>
    </row>
    <row r="90" spans="2:11" x14ac:dyDescent="0.35">
      <c r="B90" s="5" t="s">
        <v>79</v>
      </c>
      <c r="C90" s="5"/>
      <c r="D90" s="50">
        <f>D93*F11</f>
        <v>600000.00000000012</v>
      </c>
      <c r="E90" s="51"/>
      <c r="F90" s="53">
        <f>SUM(F86:F88)</f>
        <v>60300.000000000007</v>
      </c>
      <c r="G90" s="1"/>
      <c r="H90" s="1"/>
      <c r="I90" s="1"/>
      <c r="J90" s="1"/>
      <c r="K90" s="1"/>
    </row>
    <row r="91" spans="2:11" x14ac:dyDescent="0.35">
      <c r="B91" s="261"/>
      <c r="C91" s="261"/>
      <c r="D91" s="261"/>
      <c r="E91" s="261"/>
      <c r="F91" s="261"/>
      <c r="G91" s="261"/>
      <c r="H91" s="1"/>
      <c r="I91" s="1"/>
      <c r="J91" s="1"/>
      <c r="K91" s="1"/>
    </row>
    <row r="92" spans="2:11" x14ac:dyDescent="0.35">
      <c r="B92" s="31" t="s">
        <v>14</v>
      </c>
      <c r="C92" s="31"/>
      <c r="D92" s="31"/>
      <c r="E92" s="50"/>
      <c r="F92" s="51"/>
      <c r="G92" s="11"/>
      <c r="H92" s="1"/>
      <c r="I92" s="1"/>
      <c r="J92" s="1"/>
      <c r="K92" s="1"/>
    </row>
    <row r="93" spans="2:11" x14ac:dyDescent="0.35">
      <c r="B93" s="7" t="s">
        <v>82</v>
      </c>
      <c r="C93" s="7"/>
      <c r="D93" s="50">
        <f>F5</f>
        <v>1000000</v>
      </c>
      <c r="E93" s="52">
        <f>I5</f>
        <v>6.0000000000000001E-3</v>
      </c>
      <c r="F93" s="11">
        <f>E93*D93</f>
        <v>6000</v>
      </c>
      <c r="G93" s="1"/>
      <c r="H93" s="1"/>
      <c r="I93" s="1"/>
      <c r="J93" s="1"/>
      <c r="K93" s="1"/>
    </row>
    <row r="94" spans="2:11" x14ac:dyDescent="0.35">
      <c r="B94" s="7" t="s">
        <v>83</v>
      </c>
      <c r="C94" s="7"/>
      <c r="D94" s="50">
        <f>F18+F17</f>
        <v>752</v>
      </c>
      <c r="E94" s="11">
        <f>D41</f>
        <v>2</v>
      </c>
      <c r="F94" s="11">
        <f>E94*D94</f>
        <v>1504</v>
      </c>
      <c r="G94" s="1"/>
      <c r="H94" s="1"/>
      <c r="I94" s="1"/>
      <c r="J94" s="1"/>
      <c r="K94" s="1"/>
    </row>
    <row r="95" spans="2:11" x14ac:dyDescent="0.35">
      <c r="B95" s="7" t="s">
        <v>84</v>
      </c>
      <c r="C95" s="7"/>
      <c r="D95" s="50">
        <f>C42</f>
        <v>205</v>
      </c>
      <c r="E95" s="51">
        <f>D42</f>
        <v>3.5</v>
      </c>
      <c r="F95" s="11">
        <f>ROUND(E95*D95,0)</f>
        <v>718</v>
      </c>
      <c r="G95" s="1"/>
      <c r="H95" s="1"/>
      <c r="I95" s="1"/>
      <c r="J95" s="1"/>
      <c r="K95" s="1"/>
    </row>
    <row r="96" spans="2:11" x14ac:dyDescent="0.35">
      <c r="B96" s="7" t="s">
        <v>85</v>
      </c>
      <c r="C96" s="7"/>
      <c r="D96" s="50">
        <f>C43</f>
        <v>205</v>
      </c>
      <c r="E96" s="51">
        <f>D43</f>
        <v>3.5</v>
      </c>
      <c r="F96" s="11">
        <f>ROUND(E96*D96,0)</f>
        <v>718</v>
      </c>
      <c r="G96" s="1"/>
      <c r="H96" s="1"/>
      <c r="I96" s="1"/>
      <c r="J96" s="1"/>
      <c r="K96" s="1"/>
    </row>
    <row r="97" spans="2:11" x14ac:dyDescent="0.35">
      <c r="B97" s="7" t="s">
        <v>109</v>
      </c>
      <c r="C97" s="7"/>
      <c r="D97" s="50"/>
      <c r="E97" s="4"/>
      <c r="F97" s="11">
        <f>D45</f>
        <v>2800</v>
      </c>
      <c r="G97" s="1"/>
      <c r="H97" s="1"/>
      <c r="I97" s="1"/>
      <c r="J97" s="1"/>
      <c r="K97" s="1"/>
    </row>
    <row r="98" spans="2:11" x14ac:dyDescent="0.35">
      <c r="B98" s="7" t="s">
        <v>86</v>
      </c>
      <c r="C98" s="7"/>
      <c r="D98" s="50">
        <f>C46</f>
        <v>662</v>
      </c>
      <c r="E98" s="51">
        <f>D46</f>
        <v>1.25</v>
      </c>
      <c r="F98" s="11">
        <f>ROUND(E98*D98,0)</f>
        <v>828</v>
      </c>
      <c r="G98" s="1"/>
      <c r="H98" s="1"/>
      <c r="I98" s="1"/>
      <c r="J98" s="1"/>
      <c r="K98" s="1"/>
    </row>
    <row r="99" spans="2:11" x14ac:dyDescent="0.35">
      <c r="B99" s="7" t="s">
        <v>87</v>
      </c>
      <c r="C99" s="7"/>
      <c r="D99" s="50">
        <f>C44</f>
        <v>1</v>
      </c>
      <c r="E99" s="11">
        <f>D44</f>
        <v>100</v>
      </c>
      <c r="F99" s="11">
        <f>D99*E99</f>
        <v>100</v>
      </c>
      <c r="G99" s="1"/>
      <c r="H99" s="1"/>
      <c r="I99" s="1"/>
      <c r="J99" s="1"/>
      <c r="K99" s="1"/>
    </row>
    <row r="100" spans="2:11" x14ac:dyDescent="0.35">
      <c r="B100" s="7" t="s">
        <v>105</v>
      </c>
      <c r="C100" s="7"/>
      <c r="D100" s="50"/>
      <c r="E100" s="11"/>
      <c r="F100" s="11">
        <f>D47</f>
        <v>4400</v>
      </c>
      <c r="G100" s="1"/>
      <c r="H100" s="1"/>
      <c r="I100" s="1"/>
      <c r="J100" s="1"/>
      <c r="K100" s="1"/>
    </row>
    <row r="101" spans="2:11" x14ac:dyDescent="0.35">
      <c r="B101" s="7" t="s">
        <v>80</v>
      </c>
      <c r="C101" s="7"/>
      <c r="D101" s="50"/>
      <c r="E101" s="51"/>
      <c r="F101" s="13">
        <f>D48</f>
        <v>250</v>
      </c>
      <c r="G101" s="1"/>
      <c r="H101" s="1"/>
      <c r="I101" s="1"/>
      <c r="J101" s="1"/>
      <c r="K101" s="1"/>
    </row>
    <row r="102" spans="2:11" x14ac:dyDescent="0.35">
      <c r="B102" s="5" t="s">
        <v>37</v>
      </c>
      <c r="C102" s="5"/>
      <c r="D102" s="5"/>
      <c r="E102" s="50"/>
      <c r="F102" s="11">
        <f>SUM(F93:F101)</f>
        <v>17318</v>
      </c>
      <c r="G102" s="53"/>
      <c r="H102" s="1"/>
      <c r="I102" s="1"/>
      <c r="J102" s="1"/>
      <c r="K102" s="1"/>
    </row>
    <row r="103" spans="2:11" x14ac:dyDescent="0.35">
      <c r="B103" s="261"/>
      <c r="C103" s="261"/>
      <c r="D103" s="261"/>
      <c r="E103" s="261"/>
      <c r="F103" s="261"/>
      <c r="G103" s="261"/>
      <c r="H103" s="1"/>
      <c r="I103" s="1"/>
      <c r="J103" s="1"/>
      <c r="K103" s="1"/>
    </row>
    <row r="104" spans="2:11" x14ac:dyDescent="0.35">
      <c r="B104" s="31" t="s">
        <v>38</v>
      </c>
      <c r="C104" s="31"/>
      <c r="D104" s="31"/>
      <c r="E104" s="50"/>
      <c r="F104" s="51"/>
      <c r="G104" s="11"/>
      <c r="H104" s="1"/>
      <c r="I104" s="1"/>
      <c r="J104" s="1"/>
      <c r="K104" s="1"/>
    </row>
    <row r="105" spans="2:11" x14ac:dyDescent="0.35">
      <c r="B105" s="123" t="s">
        <v>19</v>
      </c>
      <c r="C105" s="7"/>
      <c r="D105" s="7"/>
      <c r="E105" s="6"/>
      <c r="F105" s="7"/>
      <c r="G105" s="7"/>
      <c r="H105" s="1"/>
      <c r="I105" s="1"/>
      <c r="J105" s="1"/>
      <c r="K105" s="1"/>
    </row>
    <row r="106" spans="2:11" x14ac:dyDescent="0.35">
      <c r="B106" s="7" t="s">
        <v>114</v>
      </c>
      <c r="C106" s="7"/>
      <c r="D106" s="50">
        <f t="shared" ref="D106:E110" si="2">C50</f>
        <v>1</v>
      </c>
      <c r="E106" s="11">
        <f t="shared" si="2"/>
        <v>750</v>
      </c>
      <c r="F106" s="11">
        <f>E106*D106</f>
        <v>750</v>
      </c>
      <c r="G106" s="1"/>
      <c r="H106" s="1"/>
      <c r="I106" s="1"/>
      <c r="J106" s="1"/>
      <c r="K106" s="1"/>
    </row>
    <row r="107" spans="2:11" x14ac:dyDescent="0.35">
      <c r="B107" s="7" t="s">
        <v>115</v>
      </c>
      <c r="C107" s="7"/>
      <c r="D107" s="50">
        <f t="shared" si="2"/>
        <v>1</v>
      </c>
      <c r="E107" s="11">
        <f t="shared" si="2"/>
        <v>250</v>
      </c>
      <c r="F107" s="11">
        <f>D107*E107</f>
        <v>250</v>
      </c>
      <c r="G107" s="1"/>
      <c r="H107" s="1"/>
      <c r="I107" s="1"/>
      <c r="J107" s="1"/>
      <c r="K107" s="1"/>
    </row>
    <row r="108" spans="2:11" x14ac:dyDescent="0.35">
      <c r="B108" s="7" t="s">
        <v>81</v>
      </c>
      <c r="C108" s="7"/>
      <c r="D108" s="50">
        <f t="shared" si="2"/>
        <v>1</v>
      </c>
      <c r="E108" s="11">
        <f t="shared" si="2"/>
        <v>500</v>
      </c>
      <c r="F108" s="11">
        <f>E108*D108</f>
        <v>500</v>
      </c>
      <c r="G108" s="1"/>
      <c r="H108" s="1"/>
      <c r="I108" s="1"/>
      <c r="J108" s="1"/>
      <c r="K108" s="1"/>
    </row>
    <row r="109" spans="2:11" x14ac:dyDescent="0.35">
      <c r="B109" s="7" t="s">
        <v>112</v>
      </c>
      <c r="C109" s="7"/>
      <c r="D109" s="50">
        <f t="shared" si="2"/>
        <v>1</v>
      </c>
      <c r="E109" s="11">
        <f t="shared" si="2"/>
        <v>27</v>
      </c>
      <c r="F109" s="11">
        <f>D109*E109</f>
        <v>27</v>
      </c>
      <c r="G109" s="1"/>
      <c r="H109" s="1"/>
      <c r="I109" s="1"/>
      <c r="J109" s="1"/>
      <c r="K109" s="1"/>
    </row>
    <row r="110" spans="2:11" x14ac:dyDescent="0.35">
      <c r="B110" s="7" t="s">
        <v>113</v>
      </c>
      <c r="C110" s="7"/>
      <c r="D110" s="50">
        <f t="shared" si="2"/>
        <v>1</v>
      </c>
      <c r="E110" s="11">
        <f t="shared" si="2"/>
        <v>100</v>
      </c>
      <c r="F110" s="11">
        <f>E110*D110</f>
        <v>100</v>
      </c>
      <c r="G110" s="1"/>
      <c r="H110" s="1"/>
      <c r="I110" s="1"/>
      <c r="J110" s="1"/>
      <c r="K110" s="1"/>
    </row>
    <row r="111" spans="2:11" x14ac:dyDescent="0.35">
      <c r="B111" s="261"/>
      <c r="C111" s="261"/>
      <c r="D111" s="261"/>
      <c r="E111" s="261"/>
      <c r="F111" s="261"/>
      <c r="G111" s="261"/>
      <c r="H111" s="1"/>
      <c r="I111" s="1"/>
      <c r="J111" s="1"/>
      <c r="K111" s="1"/>
    </row>
    <row r="112" spans="2:11" x14ac:dyDescent="0.35">
      <c r="B112" s="7" t="s">
        <v>39</v>
      </c>
      <c r="C112" s="7"/>
      <c r="D112" s="7"/>
      <c r="E112" s="6"/>
      <c r="F112" s="11">
        <f>ROUND(AVERAGE(G29:K29),0)</f>
        <v>918</v>
      </c>
      <c r="G112" s="1"/>
      <c r="H112" s="1"/>
      <c r="I112" s="1"/>
      <c r="J112" s="1"/>
      <c r="K112" s="1"/>
    </row>
    <row r="113" spans="2:11" x14ac:dyDescent="0.35">
      <c r="B113" s="7" t="s">
        <v>40</v>
      </c>
      <c r="C113" s="7"/>
      <c r="D113" s="7"/>
      <c r="E113" s="6"/>
      <c r="F113" s="13">
        <f>AVERAGE(E80:I80)</f>
        <v>915.46666666666681</v>
      </c>
      <c r="G113" s="1"/>
      <c r="H113" s="1"/>
      <c r="I113" s="1"/>
      <c r="J113" s="1"/>
      <c r="K113" s="1"/>
    </row>
    <row r="114" spans="2:11" x14ac:dyDescent="0.35">
      <c r="B114" s="5" t="s">
        <v>41</v>
      </c>
      <c r="C114" s="5"/>
      <c r="D114" s="5"/>
      <c r="E114" s="6"/>
      <c r="F114" s="53">
        <f>SUM(F106:F113)</f>
        <v>3460.4666666666667</v>
      </c>
      <c r="G114" s="1"/>
      <c r="H114" s="1"/>
      <c r="I114" s="1"/>
      <c r="J114" s="1"/>
      <c r="K114" s="1"/>
    </row>
    <row r="115" spans="2:11" x14ac:dyDescent="0.35">
      <c r="B115" s="5"/>
      <c r="C115" s="5"/>
      <c r="D115" s="5"/>
      <c r="E115" s="6"/>
      <c r="F115" s="53"/>
      <c r="G115" s="1"/>
      <c r="H115" s="1"/>
      <c r="I115" s="1"/>
      <c r="J115" s="1"/>
      <c r="K115" s="1"/>
    </row>
    <row r="116" spans="2:11" x14ac:dyDescent="0.35">
      <c r="B116" s="31" t="s">
        <v>90</v>
      </c>
      <c r="C116" s="31"/>
      <c r="D116" s="31"/>
      <c r="E116" s="6"/>
      <c r="F116" s="53">
        <f>F114+F102</f>
        <v>20778.466666666667</v>
      </c>
      <c r="G116" s="1"/>
      <c r="H116" s="1"/>
      <c r="I116" s="1"/>
      <c r="J116" s="1"/>
      <c r="K116" s="1"/>
    </row>
    <row r="117" spans="2:11" x14ac:dyDescent="0.35">
      <c r="B117" s="31"/>
      <c r="C117" s="31"/>
      <c r="D117" s="31"/>
      <c r="E117" s="6"/>
      <c r="F117" s="11"/>
      <c r="G117" s="1"/>
      <c r="H117" s="1"/>
      <c r="I117" s="1"/>
      <c r="J117" s="1"/>
      <c r="K117" s="1"/>
    </row>
    <row r="118" spans="2:11" x14ac:dyDescent="0.35">
      <c r="B118" s="31" t="s">
        <v>122</v>
      </c>
      <c r="C118" s="31"/>
      <c r="D118" s="31"/>
      <c r="E118" s="6"/>
      <c r="F118" s="11"/>
      <c r="G118" s="1"/>
      <c r="H118" s="1"/>
      <c r="I118" s="1"/>
      <c r="J118" s="1"/>
      <c r="K118" s="1"/>
    </row>
    <row r="119" spans="2:11" x14ac:dyDescent="0.35">
      <c r="B119" s="123" t="s">
        <v>123</v>
      </c>
      <c r="C119" s="31"/>
      <c r="D119" s="31"/>
      <c r="E119" s="6"/>
      <c r="F119" s="11"/>
      <c r="G119" s="1"/>
      <c r="H119" s="1"/>
      <c r="I119" s="1"/>
      <c r="J119" s="1"/>
      <c r="K119" s="1"/>
    </row>
    <row r="120" spans="2:11" x14ac:dyDescent="0.35">
      <c r="B120" s="5" t="s">
        <v>119</v>
      </c>
      <c r="C120" s="31"/>
      <c r="D120" s="31"/>
      <c r="E120" s="6"/>
      <c r="F120" s="11">
        <f>F90-(F116-F113)</f>
        <v>40437.000000000007</v>
      </c>
      <c r="G120" s="1"/>
      <c r="H120" s="1"/>
      <c r="I120" s="1"/>
      <c r="J120" s="1"/>
      <c r="K120" s="1"/>
    </row>
    <row r="121" spans="2:11" x14ac:dyDescent="0.35">
      <c r="B121" s="5" t="s">
        <v>120</v>
      </c>
      <c r="C121" s="31"/>
      <c r="D121" s="31"/>
      <c r="E121" s="6"/>
      <c r="F121" s="157">
        <f>(F116-F113)/D90</f>
        <v>3.3104999999999996E-2</v>
      </c>
      <c r="G121" s="1"/>
      <c r="H121" s="1"/>
      <c r="I121" s="1"/>
      <c r="J121" s="1"/>
      <c r="K121" s="1"/>
    </row>
    <row r="122" spans="2:11" x14ac:dyDescent="0.35">
      <c r="B122" s="5" t="s">
        <v>121</v>
      </c>
      <c r="C122" s="31"/>
      <c r="D122" s="31"/>
      <c r="E122" s="6"/>
      <c r="F122" s="55">
        <f>((F116-F113)/(E86*(D86/D90)+E87*(D87/D90)+E88*(D88/D90)))/D93</f>
        <v>0.19764179104477608</v>
      </c>
      <c r="G122" s="1"/>
      <c r="H122" s="1"/>
      <c r="I122" s="1"/>
      <c r="J122" s="1"/>
      <c r="K122" s="1"/>
    </row>
    <row r="123" spans="2:11" x14ac:dyDescent="0.35">
      <c r="B123" s="5"/>
      <c r="C123" s="31"/>
      <c r="D123" s="31"/>
      <c r="E123" s="6"/>
      <c r="F123" s="55"/>
      <c r="G123" s="1"/>
      <c r="H123" s="1"/>
      <c r="I123" s="1"/>
      <c r="J123" s="1"/>
      <c r="K123" s="1"/>
    </row>
    <row r="124" spans="2:11" x14ac:dyDescent="0.35">
      <c r="B124" s="158" t="s">
        <v>90</v>
      </c>
      <c r="C124" s="156"/>
      <c r="D124" s="156"/>
      <c r="E124" s="156"/>
      <c r="F124" s="156"/>
      <c r="G124" s="156"/>
      <c r="H124" s="1"/>
      <c r="I124" s="1"/>
      <c r="J124" s="1"/>
      <c r="K124" s="1"/>
    </row>
    <row r="125" spans="2:11" x14ac:dyDescent="0.35">
      <c r="B125" s="5" t="s">
        <v>42</v>
      </c>
      <c r="C125" s="5"/>
      <c r="D125" s="5"/>
      <c r="E125" s="6"/>
      <c r="F125" s="11">
        <f>F90-F116</f>
        <v>39521.53333333334</v>
      </c>
      <c r="G125" s="1"/>
      <c r="H125" s="1"/>
      <c r="I125" s="1"/>
      <c r="J125" s="1"/>
      <c r="K125" s="1"/>
    </row>
    <row r="126" spans="2:11" x14ac:dyDescent="0.35">
      <c r="B126" s="5" t="s">
        <v>43</v>
      </c>
      <c r="C126" s="5"/>
      <c r="D126" s="5"/>
      <c r="E126" s="6"/>
      <c r="F126" s="54">
        <f>F116/D90</f>
        <v>3.4630777777777774E-2</v>
      </c>
      <c r="G126" s="1"/>
      <c r="H126" s="1"/>
      <c r="I126" s="1"/>
      <c r="J126" s="1"/>
      <c r="K126" s="1"/>
    </row>
    <row r="127" spans="2:11" x14ac:dyDescent="0.35">
      <c r="B127" s="5" t="s">
        <v>44</v>
      </c>
      <c r="C127" s="5"/>
      <c r="D127" s="5"/>
      <c r="E127" s="6"/>
      <c r="F127" s="55">
        <f>(F116/(E86*(D86/D90)+E87*(D87/D90)+E88*(D88/D90)))/D93</f>
        <v>0.20675091210613597</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 allowBlank="1" showInputMessage="1" showErrorMessage="1" sqref="I7:I9 I5 F6:F7 F9:F11 F13:F14">
      <formula1>0</formula1>
    </dataValidation>
    <dataValidation type="whole" operator="greaterThan" allowBlank="1" showInputMessage="1" showErrorMessage="1" sqref="C22:C28 D24:D28 E24 F53:I54 E50:E54 F5 E40:E41 F47:I47 E43:E48 D75:D79 C73:C79">
      <formula1>0</formula1>
    </dataValidation>
    <dataValidation type="whole" allowBlank="1" showInputMessage="1" showErrorMessage="1" sqref="E25:E28">
      <formula1>0</formula1>
      <formula2>1</formula2>
    </dataValidation>
    <dataValidation type="decimal" operator="greaterThanOrEqual" allowBlank="1" showInputMessage="1" showErrorMessage="1" sqref="F15">
      <formula1>0</formula1>
    </dataValidation>
  </dataValidations>
  <pageMargins left="0.75" right="0.75" top="1" bottom="1" header="0.5" footer="0.5"/>
  <pageSetup orientation="portrait" horizontalDpi="4294967292" verticalDpi="4294967292"/>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27"/>
  <sheetViews>
    <sheetView topLeftCell="A57" workbookViewId="0">
      <selection activeCell="M82" sqref="M82"/>
    </sheetView>
  </sheetViews>
  <sheetFormatPr defaultColWidth="11" defaultRowHeight="15.5" x14ac:dyDescent="0.35"/>
  <sheetData>
    <row r="3" spans="2:11" ht="16" thickBot="1" x14ac:dyDescent="0.4">
      <c r="B3" s="1"/>
      <c r="C3" s="1"/>
      <c r="D3" s="1"/>
      <c r="E3" s="66"/>
      <c r="F3" s="37"/>
      <c r="G3" s="7"/>
      <c r="H3" s="1"/>
      <c r="I3" s="1"/>
      <c r="J3" s="1"/>
      <c r="K3" s="1"/>
    </row>
    <row r="4" spans="2:11" x14ac:dyDescent="0.35">
      <c r="B4" s="1"/>
      <c r="C4" s="1"/>
      <c r="D4" s="18" t="s">
        <v>51</v>
      </c>
      <c r="E4" s="117"/>
      <c r="F4" s="19" t="s">
        <v>50</v>
      </c>
      <c r="G4" s="1"/>
      <c r="H4" s="18" t="s">
        <v>53</v>
      </c>
      <c r="I4" s="19" t="s">
        <v>54</v>
      </c>
      <c r="J4" s="1"/>
      <c r="K4" s="1"/>
    </row>
    <row r="5" spans="2:11" x14ac:dyDescent="0.35">
      <c r="B5" s="1"/>
      <c r="C5" s="1"/>
      <c r="D5" s="239" t="s">
        <v>73</v>
      </c>
      <c r="E5" s="240"/>
      <c r="F5" s="56">
        <f>Budget!E5</f>
        <v>1000000</v>
      </c>
      <c r="G5" s="1"/>
      <c r="H5" s="22" t="s">
        <v>46</v>
      </c>
      <c r="I5" s="62">
        <f>Budget!H5</f>
        <v>6.0000000000000001E-3</v>
      </c>
      <c r="J5" s="1"/>
      <c r="K5" s="1"/>
    </row>
    <row r="6" spans="2:11" x14ac:dyDescent="0.35">
      <c r="B6" s="1"/>
      <c r="C6" s="1"/>
      <c r="D6" s="247" t="s">
        <v>60</v>
      </c>
      <c r="E6" s="248"/>
      <c r="F6" s="57">
        <f>Budget!E6</f>
        <v>10000</v>
      </c>
      <c r="G6" s="1"/>
      <c r="H6" s="43" t="s">
        <v>47</v>
      </c>
      <c r="I6" s="21">
        <f>Budget!H6</f>
        <v>0</v>
      </c>
      <c r="J6" s="1"/>
      <c r="K6" s="1"/>
    </row>
    <row r="7" spans="2:11" x14ac:dyDescent="0.35">
      <c r="B7" s="1"/>
      <c r="C7" s="1"/>
      <c r="D7" s="239" t="s">
        <v>55</v>
      </c>
      <c r="E7" s="240"/>
      <c r="F7" s="82">
        <f>Budget!E7</f>
        <v>1150</v>
      </c>
      <c r="G7" s="1"/>
      <c r="H7" s="20" t="s">
        <v>67</v>
      </c>
      <c r="I7" s="45">
        <f>'Cash Cost Sensitivities (2)'!A14</f>
        <v>0.1</v>
      </c>
      <c r="J7" s="1"/>
      <c r="K7" s="1"/>
    </row>
    <row r="8" spans="2:11" x14ac:dyDescent="0.35">
      <c r="B8" s="1"/>
      <c r="C8" s="1"/>
      <c r="D8" s="239" t="s">
        <v>56</v>
      </c>
      <c r="E8" s="240"/>
      <c r="F8" s="59"/>
      <c r="G8" s="1"/>
      <c r="H8" s="20" t="s">
        <v>62</v>
      </c>
      <c r="I8" s="45">
        <f>'Cash Cost Sensitivities (2)'!B14</f>
        <v>0.08</v>
      </c>
      <c r="J8" s="1"/>
      <c r="K8" s="1"/>
    </row>
    <row r="9" spans="2:11" ht="16" thickBot="1" x14ac:dyDescent="0.4">
      <c r="B9" s="1"/>
      <c r="C9" s="1"/>
      <c r="D9" s="237" t="s">
        <v>57</v>
      </c>
      <c r="E9" s="238"/>
      <c r="F9" s="60">
        <f>Budget!E9</f>
        <v>0.75</v>
      </c>
      <c r="G9" s="1"/>
      <c r="H9" s="44" t="s">
        <v>63</v>
      </c>
      <c r="I9" s="46">
        <f>'Cash Cost Sensitivities (2)'!C14</f>
        <v>0.05</v>
      </c>
      <c r="J9" s="1"/>
      <c r="K9" s="1"/>
    </row>
    <row r="10" spans="2:11" x14ac:dyDescent="0.35">
      <c r="B10" s="1"/>
      <c r="C10" s="1"/>
      <c r="D10" s="237" t="s">
        <v>58</v>
      </c>
      <c r="E10" s="238"/>
      <c r="F10" s="60">
        <f>Budget!E10</f>
        <v>0.8</v>
      </c>
      <c r="G10" s="1"/>
      <c r="H10" s="17"/>
      <c r="I10" s="1"/>
      <c r="J10" s="1"/>
      <c r="K10" s="1"/>
    </row>
    <row r="11" spans="2:11" x14ac:dyDescent="0.35">
      <c r="B11" s="1"/>
      <c r="C11" s="1"/>
      <c r="D11" s="237" t="s">
        <v>59</v>
      </c>
      <c r="E11" s="238"/>
      <c r="F11" s="132">
        <f>F9*F10</f>
        <v>0.60000000000000009</v>
      </c>
      <c r="G11" s="1"/>
      <c r="H11" s="138"/>
      <c r="I11" s="139"/>
      <c r="J11" s="1"/>
      <c r="K11" s="1"/>
    </row>
    <row r="12" spans="2:11" x14ac:dyDescent="0.35">
      <c r="B12" s="1"/>
      <c r="C12" s="1"/>
      <c r="D12" s="239" t="s">
        <v>52</v>
      </c>
      <c r="E12" s="240"/>
      <c r="F12" s="241"/>
      <c r="G12" s="1"/>
      <c r="H12" s="1"/>
      <c r="I12" s="1"/>
      <c r="J12" s="1"/>
      <c r="K12" s="1"/>
    </row>
    <row r="13" spans="2:11" x14ac:dyDescent="0.35">
      <c r="B13" s="1"/>
      <c r="C13" s="1"/>
      <c r="D13" s="237" t="s">
        <v>61</v>
      </c>
      <c r="E13" s="238"/>
      <c r="F13" s="60">
        <f>Budget!E13</f>
        <v>0.7</v>
      </c>
      <c r="G13" s="1"/>
      <c r="H13" s="1"/>
      <c r="I13" s="1"/>
      <c r="J13" s="1"/>
      <c r="K13" s="1"/>
    </row>
    <row r="14" spans="2:11" x14ac:dyDescent="0.35">
      <c r="B14" s="1"/>
      <c r="C14" s="1"/>
      <c r="D14" s="237" t="s">
        <v>62</v>
      </c>
      <c r="E14" s="238"/>
      <c r="F14" s="60">
        <f>Budget!E14</f>
        <v>0.2</v>
      </c>
      <c r="G14" s="1"/>
      <c r="H14" s="1"/>
      <c r="I14" s="1"/>
      <c r="J14" s="1"/>
      <c r="K14" s="1"/>
    </row>
    <row r="15" spans="2:11" x14ac:dyDescent="0.35">
      <c r="B15" s="1"/>
      <c r="C15" s="1"/>
      <c r="D15" s="237" t="s">
        <v>63</v>
      </c>
      <c r="E15" s="238"/>
      <c r="F15" s="105">
        <f>Budget!E15</f>
        <v>0.1</v>
      </c>
      <c r="G15" s="1"/>
      <c r="H15" s="1"/>
      <c r="I15" s="1"/>
      <c r="J15" s="1"/>
      <c r="K15" s="1"/>
    </row>
    <row r="16" spans="2:11" x14ac:dyDescent="0.35">
      <c r="B16" s="7"/>
      <c r="C16" s="7"/>
      <c r="D16" s="242" t="s">
        <v>103</v>
      </c>
      <c r="E16" s="243"/>
      <c r="F16" s="103"/>
      <c r="G16" s="1"/>
      <c r="H16" s="1"/>
      <c r="I16" s="1"/>
      <c r="J16" s="1"/>
      <c r="K16" s="1"/>
    </row>
    <row r="17" spans="2:11" x14ac:dyDescent="0.35">
      <c r="B17" s="1"/>
      <c r="C17" s="1"/>
      <c r="D17" s="250" t="s">
        <v>57</v>
      </c>
      <c r="E17" s="251"/>
      <c r="F17" s="106">
        <f>ROUND(F5/F6,0)</f>
        <v>100</v>
      </c>
      <c r="G17" s="1"/>
      <c r="H17" s="1"/>
      <c r="I17" s="1"/>
      <c r="J17" s="1"/>
      <c r="K17" s="1"/>
    </row>
    <row r="18" spans="2:11" ht="16" thickBot="1" x14ac:dyDescent="0.4">
      <c r="B18" s="2"/>
      <c r="C18" s="2"/>
      <c r="D18" s="252" t="s">
        <v>102</v>
      </c>
      <c r="E18" s="253"/>
      <c r="F18" s="104">
        <f>ROUND(F5*F9/F7,0)</f>
        <v>652</v>
      </c>
      <c r="G18" s="1"/>
      <c r="H18" s="1"/>
      <c r="I18" s="1"/>
      <c r="J18" s="1"/>
      <c r="K18" s="1"/>
    </row>
    <row r="19" spans="2:11" x14ac:dyDescent="0.35">
      <c r="B19" s="2"/>
      <c r="C19" s="2"/>
      <c r="D19" s="2"/>
      <c r="E19" s="14"/>
      <c r="F19" s="2"/>
      <c r="G19" s="1"/>
      <c r="H19" s="1"/>
      <c r="I19" s="1"/>
      <c r="J19" s="1"/>
      <c r="K19" s="1"/>
    </row>
    <row r="20" spans="2:11" ht="18.5" x14ac:dyDescent="0.45">
      <c r="B20" s="236" t="s">
        <v>12</v>
      </c>
      <c r="C20" s="236"/>
      <c r="D20" s="236"/>
      <c r="E20" s="236"/>
      <c r="F20" s="236"/>
      <c r="G20" s="236"/>
      <c r="H20" s="236"/>
      <c r="I20" s="236"/>
      <c r="J20" s="236"/>
      <c r="K20" s="236"/>
    </row>
    <row r="21" spans="2:11" ht="16" thickBot="1" x14ac:dyDescent="0.4">
      <c r="B21" s="23" t="s">
        <v>0</v>
      </c>
      <c r="C21" s="34" t="s">
        <v>1</v>
      </c>
      <c r="D21" s="33" t="s">
        <v>2</v>
      </c>
      <c r="E21" s="33" t="s">
        <v>72</v>
      </c>
      <c r="F21" s="33" t="s">
        <v>117</v>
      </c>
      <c r="G21" s="33" t="s">
        <v>3</v>
      </c>
      <c r="H21" s="33" t="s">
        <v>4</v>
      </c>
      <c r="I21" s="33" t="s">
        <v>5</v>
      </c>
      <c r="J21" s="33" t="s">
        <v>6</v>
      </c>
      <c r="K21" s="33" t="s">
        <v>7</v>
      </c>
    </row>
    <row r="22" spans="2:11" x14ac:dyDescent="0.35">
      <c r="B22" s="25" t="s">
        <v>8</v>
      </c>
      <c r="C22" s="68">
        <f>Budget!B22</f>
        <v>7</v>
      </c>
      <c r="D22" s="140">
        <f>Budget!C22</f>
        <v>4</v>
      </c>
      <c r="E22" s="146">
        <f>Budget!D22</f>
        <v>25</v>
      </c>
      <c r="F22" s="149">
        <f>Budget!E22</f>
        <v>175</v>
      </c>
      <c r="G22" s="149">
        <f>Budget!F22</f>
        <v>175</v>
      </c>
      <c r="H22" s="149">
        <f>Budget!G22</f>
        <v>180</v>
      </c>
      <c r="I22" s="149">
        <f>Budget!H22</f>
        <v>186</v>
      </c>
      <c r="J22" s="149">
        <f>Budget!I22</f>
        <v>191</v>
      </c>
      <c r="K22" s="149">
        <f>Budget!J22</f>
        <v>197</v>
      </c>
    </row>
    <row r="23" spans="2:11" x14ac:dyDescent="0.35">
      <c r="B23" s="16" t="s">
        <v>9</v>
      </c>
      <c r="C23" s="67">
        <f>Budget!B23</f>
        <v>6.2</v>
      </c>
      <c r="D23" s="141">
        <f>Budget!C23</f>
        <v>10</v>
      </c>
      <c r="E23" s="181">
        <f>Budget!D23</f>
        <v>65</v>
      </c>
      <c r="F23" s="150">
        <f>Budget!E23</f>
        <v>404</v>
      </c>
      <c r="G23" s="150">
        <f>Budget!F23</f>
        <v>403</v>
      </c>
      <c r="H23" s="150">
        <f>Budget!G23</f>
        <v>415</v>
      </c>
      <c r="I23" s="150">
        <f>Budget!H23</f>
        <v>428</v>
      </c>
      <c r="J23" s="150">
        <f>Budget!I23</f>
        <v>440</v>
      </c>
      <c r="K23" s="150">
        <f>Budget!J23</f>
        <v>454</v>
      </c>
    </row>
    <row r="24" spans="2:11" x14ac:dyDescent="0.35">
      <c r="B24" s="16" t="s">
        <v>10</v>
      </c>
      <c r="C24" s="67">
        <f>Budget!B24</f>
        <v>250</v>
      </c>
      <c r="D24" s="141">
        <f>Budget!C24</f>
        <v>3</v>
      </c>
      <c r="E24" s="182">
        <f>Budget!D24</f>
        <v>1</v>
      </c>
      <c r="F24" s="151">
        <f>Budget!E24</f>
        <v>0</v>
      </c>
      <c r="G24" s="150">
        <f>Budget!F24</f>
        <v>250</v>
      </c>
      <c r="H24" s="150">
        <f>Budget!G24</f>
        <v>0</v>
      </c>
      <c r="I24" s="150">
        <f>Budget!H24</f>
        <v>0</v>
      </c>
      <c r="J24" s="150">
        <f>Budget!I24</f>
        <v>273</v>
      </c>
      <c r="K24" s="150">
        <f>Budget!J24</f>
        <v>0</v>
      </c>
    </row>
    <row r="25" spans="2:11" x14ac:dyDescent="0.35">
      <c r="B25" s="16" t="s">
        <v>11</v>
      </c>
      <c r="C25" s="67">
        <f>Budget!B25</f>
        <v>18000</v>
      </c>
      <c r="D25" s="141">
        <f>Budget!C25</f>
        <v>7</v>
      </c>
      <c r="E25" s="141">
        <f>Budget!D25</f>
        <v>0</v>
      </c>
      <c r="F25" s="152">
        <f>Budget!E25</f>
        <v>0</v>
      </c>
      <c r="G25" s="150">
        <f>Budget!F25</f>
        <v>0</v>
      </c>
      <c r="H25" s="150">
        <f>Budget!G25</f>
        <v>0</v>
      </c>
      <c r="I25" s="150">
        <f>Budget!H25</f>
        <v>0</v>
      </c>
      <c r="J25" s="150">
        <f>Budget!I25</f>
        <v>0</v>
      </c>
      <c r="K25" s="150">
        <f>Budget!J25</f>
        <v>0</v>
      </c>
    </row>
    <row r="26" spans="2:11" x14ac:dyDescent="0.35">
      <c r="B26" s="16" t="s">
        <v>69</v>
      </c>
      <c r="C26" s="67">
        <f>Budget!B26</f>
        <v>28000</v>
      </c>
      <c r="D26" s="141">
        <f>Budget!C26</f>
        <v>10</v>
      </c>
      <c r="E26" s="141">
        <f>Budget!D26</f>
        <v>0</v>
      </c>
      <c r="F26" s="152">
        <f>Budget!E26</f>
        <v>0</v>
      </c>
      <c r="G26" s="150">
        <f>Budget!F26</f>
        <v>0</v>
      </c>
      <c r="H26" s="150">
        <f>Budget!G26</f>
        <v>0</v>
      </c>
      <c r="I26" s="150">
        <f>Budget!H26</f>
        <v>0</v>
      </c>
      <c r="J26" s="150">
        <f>Budget!I26</f>
        <v>0</v>
      </c>
      <c r="K26" s="150">
        <f>Budget!J26</f>
        <v>0</v>
      </c>
    </row>
    <row r="27" spans="2:11" x14ac:dyDescent="0.35">
      <c r="B27" s="16" t="s">
        <v>70</v>
      </c>
      <c r="C27" s="67">
        <f>Budget!B27</f>
        <v>10000</v>
      </c>
      <c r="D27" s="141">
        <f>Budget!C27</f>
        <v>3</v>
      </c>
      <c r="E27" s="141">
        <f>Budget!D27</f>
        <v>0</v>
      </c>
      <c r="F27" s="152">
        <f>Budget!E27</f>
        <v>0</v>
      </c>
      <c r="G27" s="150">
        <f>Budget!F27</f>
        <v>0</v>
      </c>
      <c r="H27" s="150">
        <f>Budget!G27</f>
        <v>0</v>
      </c>
      <c r="I27" s="150">
        <f>Budget!H27</f>
        <v>0</v>
      </c>
      <c r="J27" s="150">
        <f>Budget!I27</f>
        <v>0</v>
      </c>
      <c r="K27" s="150">
        <f>Budget!J27</f>
        <v>0</v>
      </c>
    </row>
    <row r="28" spans="2:11" ht="44" thickBot="1" x14ac:dyDescent="0.4">
      <c r="B28" s="98" t="s">
        <v>71</v>
      </c>
      <c r="C28" s="69">
        <f>Budget!B28</f>
        <v>1000</v>
      </c>
      <c r="D28" s="142">
        <f>Budget!C28</f>
        <v>5</v>
      </c>
      <c r="E28" s="142">
        <f>Budget!D28</f>
        <v>1</v>
      </c>
      <c r="F28" s="153">
        <f>Budget!E28</f>
        <v>0</v>
      </c>
      <c r="G28" s="154">
        <f>Budget!F28</f>
        <v>1000</v>
      </c>
      <c r="H28" s="154">
        <f>Budget!G28</f>
        <v>0</v>
      </c>
      <c r="I28" s="154">
        <f>Budget!H28</f>
        <v>0</v>
      </c>
      <c r="J28" s="154">
        <f>Budget!I28</f>
        <v>0</v>
      </c>
      <c r="K28" s="154">
        <f>Budget!J28</f>
        <v>0</v>
      </c>
    </row>
    <row r="29" spans="2:11" x14ac:dyDescent="0.35">
      <c r="B29" s="5" t="s">
        <v>45</v>
      </c>
      <c r="C29" s="6"/>
      <c r="D29" s="7"/>
      <c r="E29" s="7"/>
      <c r="F29" s="15"/>
      <c r="G29" s="15">
        <f>SUM(G22:G28)</f>
        <v>1828</v>
      </c>
      <c r="H29" s="15">
        <f>SUM(H22:H28)</f>
        <v>595</v>
      </c>
      <c r="I29" s="15">
        <f>SUM(I22:I28)</f>
        <v>614</v>
      </c>
      <c r="J29" s="15">
        <f>SUM(J22:J28)</f>
        <v>904</v>
      </c>
      <c r="K29" s="15">
        <f>SUM(K22:K28)</f>
        <v>651</v>
      </c>
    </row>
    <row r="30" spans="2:11" x14ac:dyDescent="0.35">
      <c r="B30" s="1"/>
      <c r="C30" s="1"/>
      <c r="D30" s="1"/>
      <c r="E30" s="4"/>
      <c r="F30" s="1"/>
      <c r="G30" s="1"/>
      <c r="H30" s="1"/>
      <c r="I30" s="1"/>
      <c r="J30" s="1"/>
      <c r="K30" s="1"/>
    </row>
    <row r="31" spans="2:11" x14ac:dyDescent="0.35">
      <c r="B31" s="107"/>
      <c r="C31" s="107"/>
      <c r="D31" s="107"/>
      <c r="E31" s="4"/>
      <c r="F31" s="1"/>
      <c r="G31" s="1"/>
      <c r="H31" s="1"/>
      <c r="I31" s="1"/>
      <c r="J31" s="1"/>
      <c r="K31" s="1"/>
    </row>
    <row r="32" spans="2:11" x14ac:dyDescent="0.35">
      <c r="B32" s="107"/>
      <c r="C32" s="107"/>
      <c r="D32" s="107"/>
      <c r="E32" s="4"/>
      <c r="F32" s="1"/>
      <c r="G32" s="1"/>
      <c r="H32" s="1"/>
      <c r="I32" s="1"/>
      <c r="J32" s="1"/>
      <c r="K32" s="1"/>
    </row>
    <row r="33" spans="2:11" x14ac:dyDescent="0.35">
      <c r="B33" s="107"/>
      <c r="C33" s="107"/>
      <c r="D33" s="107"/>
      <c r="E33" s="4"/>
      <c r="F33" s="1"/>
      <c r="G33" s="1"/>
      <c r="H33" s="1"/>
      <c r="I33" s="1"/>
      <c r="J33" s="1"/>
      <c r="K33" s="1"/>
    </row>
    <row r="34" spans="2:11" x14ac:dyDescent="0.35">
      <c r="B34" s="107"/>
      <c r="C34" s="107"/>
      <c r="D34" s="107"/>
      <c r="E34" s="4"/>
      <c r="F34" s="1"/>
      <c r="G34" s="1"/>
      <c r="H34" s="1"/>
      <c r="I34" s="1"/>
      <c r="J34" s="1"/>
      <c r="K34" s="1"/>
    </row>
    <row r="35" spans="2:11" x14ac:dyDescent="0.35">
      <c r="B35" s="107"/>
      <c r="C35" s="107"/>
      <c r="D35" s="107"/>
      <c r="E35" s="4"/>
      <c r="F35" s="1"/>
      <c r="G35" s="1"/>
      <c r="H35" s="1"/>
      <c r="I35" s="1"/>
      <c r="J35" s="1"/>
      <c r="K35" s="1"/>
    </row>
    <row r="36" spans="2:11" x14ac:dyDescent="0.35">
      <c r="B36" s="107"/>
      <c r="C36" s="107"/>
      <c r="D36" s="107"/>
      <c r="E36" s="4"/>
      <c r="F36" s="1"/>
      <c r="G36" s="1"/>
      <c r="H36" s="1"/>
      <c r="I36" s="1"/>
      <c r="J36" s="1"/>
      <c r="K36" s="1"/>
    </row>
    <row r="37" spans="2:11" ht="18.5" x14ac:dyDescent="0.45">
      <c r="B37" s="236" t="s">
        <v>14</v>
      </c>
      <c r="C37" s="236"/>
      <c r="D37" s="236"/>
      <c r="E37" s="236"/>
      <c r="F37" s="236"/>
      <c r="G37" s="236"/>
      <c r="H37" s="236"/>
      <c r="I37" s="236"/>
      <c r="J37" s="1"/>
      <c r="K37" s="1"/>
    </row>
    <row r="38" spans="2:11" ht="44" thickBot="1" x14ac:dyDescent="0.4">
      <c r="B38" s="33" t="s">
        <v>13</v>
      </c>
      <c r="C38" s="23" t="s">
        <v>107</v>
      </c>
      <c r="D38" s="122" t="s">
        <v>110</v>
      </c>
      <c r="E38" s="34" t="s">
        <v>3</v>
      </c>
      <c r="F38" s="33" t="s">
        <v>4</v>
      </c>
      <c r="G38" s="33" t="s">
        <v>5</v>
      </c>
      <c r="H38" s="33" t="s">
        <v>6</v>
      </c>
      <c r="I38" s="33" t="s">
        <v>7</v>
      </c>
      <c r="J38" s="1"/>
      <c r="K38" s="1"/>
    </row>
    <row r="39" spans="2:11" x14ac:dyDescent="0.35">
      <c r="B39" s="41" t="s">
        <v>14</v>
      </c>
      <c r="C39" s="1"/>
      <c r="D39" s="1"/>
      <c r="E39" s="32"/>
      <c r="F39" s="9"/>
      <c r="G39" s="9"/>
      <c r="H39" s="9"/>
      <c r="I39" s="102"/>
      <c r="J39" s="1"/>
      <c r="K39" s="1"/>
    </row>
    <row r="40" spans="2:11" x14ac:dyDescent="0.35">
      <c r="B40" s="25" t="s">
        <v>15</v>
      </c>
      <c r="C40" s="115">
        <f>F5</f>
        <v>1000000</v>
      </c>
      <c r="D40" s="118">
        <f>I5</f>
        <v>6.0000000000000001E-3</v>
      </c>
      <c r="E40" s="119">
        <f>C40*D40</f>
        <v>6000</v>
      </c>
      <c r="F40" s="30">
        <v>6000</v>
      </c>
      <c r="G40" s="30">
        <v>6000</v>
      </c>
      <c r="H40" s="30">
        <v>6000</v>
      </c>
      <c r="I40" s="30">
        <v>6000</v>
      </c>
      <c r="J40" s="12"/>
      <c r="K40" s="12"/>
    </row>
    <row r="41" spans="2:11" x14ac:dyDescent="0.35">
      <c r="B41" s="16" t="s">
        <v>108</v>
      </c>
      <c r="C41" s="116">
        <f>F17+F18</f>
        <v>752</v>
      </c>
      <c r="D41" s="67">
        <f>Budget!C35</f>
        <v>2</v>
      </c>
      <c r="E41" s="125">
        <f>C41*D41</f>
        <v>1504</v>
      </c>
      <c r="F41" s="29">
        <f>ROUND(E41+E41*0.03,0)</f>
        <v>1549</v>
      </c>
      <c r="G41" s="29">
        <f>ROUND(F41+F41*0.03,0)</f>
        <v>1595</v>
      </c>
      <c r="H41" s="29">
        <f t="shared" ref="H41:I52" si="0">ROUND(G41+G41*0.03,0)</f>
        <v>1643</v>
      </c>
      <c r="I41" s="29">
        <f t="shared" si="0"/>
        <v>1692</v>
      </c>
      <c r="J41" s="1"/>
      <c r="K41" s="1"/>
    </row>
    <row r="42" spans="2:11" x14ac:dyDescent="0.35">
      <c r="B42" s="16" t="s">
        <v>16</v>
      </c>
      <c r="C42" s="131">
        <f>Budget!B36</f>
        <v>205</v>
      </c>
      <c r="D42" s="67">
        <f>Budget!C36</f>
        <v>3.5</v>
      </c>
      <c r="E42" s="125">
        <f>C42*D42</f>
        <v>717.5</v>
      </c>
      <c r="F42" s="29">
        <f t="shared" ref="F42:G48" si="1">ROUND(E42+E42*0.03,0)</f>
        <v>739</v>
      </c>
      <c r="G42" s="29">
        <f t="shared" si="1"/>
        <v>761</v>
      </c>
      <c r="H42" s="29">
        <f t="shared" si="0"/>
        <v>784</v>
      </c>
      <c r="I42" s="29">
        <f t="shared" si="0"/>
        <v>808</v>
      </c>
      <c r="J42" s="1"/>
      <c r="K42" s="1"/>
    </row>
    <row r="43" spans="2:11" x14ac:dyDescent="0.35">
      <c r="B43" s="16" t="s">
        <v>17</v>
      </c>
      <c r="C43" s="131">
        <f>Budget!B37</f>
        <v>205</v>
      </c>
      <c r="D43" s="67">
        <f>Budget!C37</f>
        <v>3.5</v>
      </c>
      <c r="E43" s="125">
        <f>C43*D43</f>
        <v>717.5</v>
      </c>
      <c r="F43" s="29">
        <f t="shared" si="1"/>
        <v>739</v>
      </c>
      <c r="G43" s="29">
        <f t="shared" si="1"/>
        <v>761</v>
      </c>
      <c r="H43" s="29">
        <f t="shared" si="0"/>
        <v>784</v>
      </c>
      <c r="I43" s="29">
        <f t="shared" si="0"/>
        <v>808</v>
      </c>
      <c r="J43" s="1"/>
      <c r="K43" s="1"/>
    </row>
    <row r="44" spans="2:11" x14ac:dyDescent="0.35">
      <c r="B44" s="16" t="s">
        <v>18</v>
      </c>
      <c r="C44" s="164">
        <f>Budget!B38</f>
        <v>1</v>
      </c>
      <c r="D44" s="67">
        <f>Budget!C38</f>
        <v>100</v>
      </c>
      <c r="E44" s="125">
        <f>C44*D44</f>
        <v>100</v>
      </c>
      <c r="F44" s="29">
        <f t="shared" si="1"/>
        <v>103</v>
      </c>
      <c r="G44" s="29">
        <f t="shared" si="1"/>
        <v>106</v>
      </c>
      <c r="H44" s="29">
        <f t="shared" si="0"/>
        <v>109</v>
      </c>
      <c r="I44" s="29">
        <f t="shared" si="0"/>
        <v>112</v>
      </c>
      <c r="J44" s="1"/>
      <c r="K44" s="1"/>
    </row>
    <row r="45" spans="2:11" x14ac:dyDescent="0.35">
      <c r="B45" s="16" t="s">
        <v>77</v>
      </c>
      <c r="C45" s="121"/>
      <c r="D45" s="67">
        <f>Budget!C39</f>
        <v>2800</v>
      </c>
      <c r="E45" s="125">
        <f>D45</f>
        <v>2800</v>
      </c>
      <c r="F45" s="29">
        <f t="shared" si="1"/>
        <v>2884</v>
      </c>
      <c r="G45" s="29">
        <f t="shared" si="1"/>
        <v>2971</v>
      </c>
      <c r="H45" s="29">
        <f t="shared" si="0"/>
        <v>3060</v>
      </c>
      <c r="I45" s="29">
        <f t="shared" si="0"/>
        <v>3152</v>
      </c>
      <c r="J45" s="1"/>
      <c r="K45" s="1"/>
    </row>
    <row r="46" spans="2:11" x14ac:dyDescent="0.35">
      <c r="B46" s="16" t="s">
        <v>78</v>
      </c>
      <c r="C46" s="120">
        <f>ROUND(0.75*F17+0.9*F18,0)</f>
        <v>662</v>
      </c>
      <c r="D46" s="67">
        <f>Budget!C40</f>
        <v>1.25</v>
      </c>
      <c r="E46" s="125">
        <f>C46*D46</f>
        <v>827.5</v>
      </c>
      <c r="F46" s="29">
        <f t="shared" si="1"/>
        <v>852</v>
      </c>
      <c r="G46" s="29">
        <f t="shared" si="1"/>
        <v>878</v>
      </c>
      <c r="H46" s="29">
        <f t="shared" si="0"/>
        <v>904</v>
      </c>
      <c r="I46" s="29">
        <f t="shared" si="0"/>
        <v>931</v>
      </c>
      <c r="J46" s="1"/>
      <c r="K46" s="1"/>
    </row>
    <row r="47" spans="2:11" x14ac:dyDescent="0.35">
      <c r="B47" s="16" t="s">
        <v>111</v>
      </c>
      <c r="C47" s="120"/>
      <c r="D47" s="67">
        <f>Budget!C41</f>
        <v>4400</v>
      </c>
      <c r="E47" s="125">
        <f>D47</f>
        <v>4400</v>
      </c>
      <c r="F47" s="119">
        <f t="shared" si="1"/>
        <v>4532</v>
      </c>
      <c r="G47" s="119">
        <f t="shared" si="1"/>
        <v>4668</v>
      </c>
      <c r="H47" s="119">
        <f t="shared" si="0"/>
        <v>4808</v>
      </c>
      <c r="I47" s="119">
        <f t="shared" si="0"/>
        <v>4952</v>
      </c>
      <c r="J47" s="1"/>
      <c r="K47" s="1"/>
    </row>
    <row r="48" spans="2:11" x14ac:dyDescent="0.35">
      <c r="B48" s="16" t="s">
        <v>66</v>
      </c>
      <c r="C48" s="120"/>
      <c r="D48" s="67">
        <f>Budget!C42</f>
        <v>250</v>
      </c>
      <c r="E48" s="125">
        <f>D48</f>
        <v>250</v>
      </c>
      <c r="F48" s="29">
        <f t="shared" si="1"/>
        <v>258</v>
      </c>
      <c r="G48" s="29">
        <f t="shared" si="1"/>
        <v>266</v>
      </c>
      <c r="H48" s="29">
        <f t="shared" si="0"/>
        <v>274</v>
      </c>
      <c r="I48" s="29">
        <f t="shared" si="0"/>
        <v>282</v>
      </c>
      <c r="J48" s="1"/>
      <c r="K48" s="1"/>
    </row>
    <row r="49" spans="2:11" x14ac:dyDescent="0.35">
      <c r="B49" s="42" t="s">
        <v>68</v>
      </c>
      <c r="C49" s="114"/>
      <c r="D49" s="114"/>
      <c r="E49" s="126"/>
      <c r="F49" s="35"/>
      <c r="G49" s="35"/>
      <c r="H49" s="35"/>
      <c r="I49" s="36"/>
      <c r="J49" s="12"/>
      <c r="K49" s="12"/>
    </row>
    <row r="50" spans="2:11" x14ac:dyDescent="0.35">
      <c r="B50" s="16" t="s">
        <v>48</v>
      </c>
      <c r="C50" s="47">
        <f>Budget!B44</f>
        <v>1</v>
      </c>
      <c r="D50" s="47">
        <f>Budget!C44</f>
        <v>750</v>
      </c>
      <c r="E50" s="127">
        <v>750</v>
      </c>
      <c r="F50" s="29">
        <f>ROUND(E50+E50*0.03,0)</f>
        <v>773</v>
      </c>
      <c r="G50" s="29">
        <f>ROUND(F50+F50*0.03,0)</f>
        <v>796</v>
      </c>
      <c r="H50" s="29">
        <f t="shared" si="0"/>
        <v>820</v>
      </c>
      <c r="I50" s="29">
        <f t="shared" si="0"/>
        <v>845</v>
      </c>
      <c r="J50" s="1"/>
      <c r="K50" s="1"/>
    </row>
    <row r="51" spans="2:11" x14ac:dyDescent="0.35">
      <c r="B51" s="16" t="s">
        <v>49</v>
      </c>
      <c r="C51" s="47">
        <f>Budget!B45</f>
        <v>1</v>
      </c>
      <c r="D51" s="47">
        <f>Budget!C45</f>
        <v>250</v>
      </c>
      <c r="E51" s="127">
        <v>250</v>
      </c>
      <c r="F51" s="29">
        <v>250</v>
      </c>
      <c r="G51" s="29">
        <v>250</v>
      </c>
      <c r="H51" s="29">
        <v>250</v>
      </c>
      <c r="I51" s="29">
        <v>250</v>
      </c>
      <c r="J51" s="1"/>
      <c r="K51" s="1"/>
    </row>
    <row r="52" spans="2:11" x14ac:dyDescent="0.35">
      <c r="B52" s="16" t="s">
        <v>20</v>
      </c>
      <c r="C52" s="47">
        <f>Budget!B46</f>
        <v>1</v>
      </c>
      <c r="D52" s="47">
        <f>Budget!C46</f>
        <v>500</v>
      </c>
      <c r="E52" s="127">
        <v>500</v>
      </c>
      <c r="F52" s="29">
        <f>ROUND(E52+E52*0.03,0)</f>
        <v>515</v>
      </c>
      <c r="G52" s="29">
        <f>ROUND(F52+F52*0.03,0)</f>
        <v>530</v>
      </c>
      <c r="H52" s="29">
        <f t="shared" si="0"/>
        <v>546</v>
      </c>
      <c r="I52" s="29">
        <f t="shared" si="0"/>
        <v>562</v>
      </c>
      <c r="J52" s="1"/>
      <c r="K52" s="1"/>
    </row>
    <row r="53" spans="2:11" x14ac:dyDescent="0.35">
      <c r="B53" s="108" t="s">
        <v>104</v>
      </c>
      <c r="C53" s="130">
        <f>Budget!B47</f>
        <v>1</v>
      </c>
      <c r="D53" s="130">
        <f>Budget!C47</f>
        <v>27</v>
      </c>
      <c r="E53" s="128">
        <v>27</v>
      </c>
      <c r="F53" s="109">
        <v>27</v>
      </c>
      <c r="G53" s="109">
        <v>27</v>
      </c>
      <c r="H53" s="109">
        <v>27</v>
      </c>
      <c r="I53" s="109">
        <v>27</v>
      </c>
      <c r="J53" s="1"/>
      <c r="K53" s="1"/>
    </row>
    <row r="54" spans="2:11" ht="16" thickBot="1" x14ac:dyDescent="0.4">
      <c r="B54" s="27" t="s">
        <v>21</v>
      </c>
      <c r="C54" s="48">
        <f>Budget!B48</f>
        <v>1</v>
      </c>
      <c r="D54" s="48">
        <f>Budget!C48</f>
        <v>100</v>
      </c>
      <c r="E54" s="129">
        <v>100</v>
      </c>
      <c r="F54" s="110">
        <v>100</v>
      </c>
      <c r="G54" s="110">
        <v>100</v>
      </c>
      <c r="H54" s="110">
        <v>100</v>
      </c>
      <c r="I54" s="110">
        <v>100</v>
      </c>
      <c r="J54" s="1"/>
      <c r="K54" s="1"/>
    </row>
    <row r="55" spans="2:11" x14ac:dyDescent="0.35">
      <c r="B55" s="3" t="s">
        <v>22</v>
      </c>
      <c r="C55" s="3"/>
      <c r="D55" s="3"/>
      <c r="E55" s="10">
        <f>SUM(E40:E54)</f>
        <v>18943.5</v>
      </c>
      <c r="F55" s="10">
        <f>SUM(F40:F54)</f>
        <v>19321</v>
      </c>
      <c r="G55" s="10">
        <f>SUM(G40:G54)</f>
        <v>19709</v>
      </c>
      <c r="H55" s="10">
        <f>SUM(H40:H54)</f>
        <v>20109</v>
      </c>
      <c r="I55" s="10">
        <f>SUM(I40:I54)</f>
        <v>20521</v>
      </c>
      <c r="J55" s="1"/>
      <c r="K55" s="1"/>
    </row>
    <row r="56" spans="2:11" x14ac:dyDescent="0.35">
      <c r="B56" s="3"/>
      <c r="C56" s="3"/>
      <c r="D56" s="3"/>
      <c r="E56" s="10"/>
      <c r="F56" s="10"/>
      <c r="G56" s="10"/>
      <c r="H56" s="10"/>
      <c r="I56" s="10"/>
      <c r="J56" s="1"/>
      <c r="K56" s="1"/>
    </row>
    <row r="57" spans="2:11" x14ac:dyDescent="0.35">
      <c r="B57" s="3"/>
      <c r="C57" s="3"/>
      <c r="D57" s="3"/>
      <c r="E57" s="10"/>
      <c r="F57" s="10"/>
      <c r="G57" s="10"/>
      <c r="H57" s="10"/>
      <c r="I57" s="10"/>
      <c r="J57" s="1"/>
      <c r="K57" s="1"/>
    </row>
    <row r="58" spans="2:11" x14ac:dyDescent="0.35">
      <c r="B58" s="1"/>
      <c r="C58" s="1"/>
      <c r="D58" s="1"/>
      <c r="E58" s="8"/>
      <c r="F58" s="8"/>
      <c r="G58" s="8"/>
      <c r="H58" s="8"/>
      <c r="I58" s="8"/>
      <c r="J58" s="1"/>
      <c r="K58" s="1"/>
    </row>
    <row r="59" spans="2:11" ht="18.5" x14ac:dyDescent="0.45">
      <c r="B59" s="236" t="s">
        <v>76</v>
      </c>
      <c r="C59" s="236"/>
      <c r="D59" s="236"/>
      <c r="E59" s="236"/>
      <c r="F59" s="236"/>
      <c r="G59" s="236"/>
      <c r="H59" s="236"/>
      <c r="I59" s="236"/>
      <c r="J59" s="1"/>
      <c r="K59" s="1"/>
    </row>
    <row r="60" spans="2:11" ht="16" thickBot="1" x14ac:dyDescent="0.4">
      <c r="B60" s="37"/>
      <c r="C60" s="34" t="s">
        <v>3</v>
      </c>
      <c r="D60" s="33" t="s">
        <v>4</v>
      </c>
      <c r="E60" s="33" t="s">
        <v>5</v>
      </c>
      <c r="F60" s="33" t="s">
        <v>6</v>
      </c>
      <c r="G60" s="33" t="s">
        <v>7</v>
      </c>
      <c r="H60" s="1"/>
      <c r="I60" s="1"/>
      <c r="J60" s="1"/>
      <c r="K60" s="1"/>
    </row>
    <row r="61" spans="2:11" x14ac:dyDescent="0.35">
      <c r="B61" s="25" t="s">
        <v>23</v>
      </c>
      <c r="C61" s="155">
        <f>Budget!$B$56</f>
        <v>0</v>
      </c>
      <c r="D61" s="39">
        <f>C68</f>
        <v>33828.500000000007</v>
      </c>
      <c r="E61" s="39">
        <f>D68</f>
        <v>68512.500000000015</v>
      </c>
      <c r="F61" s="39">
        <f>E68</f>
        <v>102789.50000000003</v>
      </c>
      <c r="G61" s="39">
        <f>F68</f>
        <v>136376.50000000003</v>
      </c>
      <c r="H61" s="1"/>
      <c r="I61" s="1"/>
      <c r="J61" s="1"/>
      <c r="K61" s="1"/>
    </row>
    <row r="62" spans="2:11" x14ac:dyDescent="0.35">
      <c r="B62" s="16" t="s">
        <v>24</v>
      </c>
      <c r="C62" s="38">
        <f>F90</f>
        <v>54600.000000000007</v>
      </c>
      <c r="D62" s="38">
        <f>F90</f>
        <v>54600.000000000007</v>
      </c>
      <c r="E62" s="38">
        <f>F90</f>
        <v>54600.000000000007</v>
      </c>
      <c r="F62" s="38">
        <f>F90</f>
        <v>54600.000000000007</v>
      </c>
      <c r="G62" s="38">
        <f>F90</f>
        <v>54600.000000000007</v>
      </c>
      <c r="H62" s="1"/>
      <c r="I62" s="1"/>
      <c r="J62" s="1"/>
      <c r="K62" s="1"/>
    </row>
    <row r="63" spans="2:11" x14ac:dyDescent="0.35">
      <c r="B63" s="16" t="s">
        <v>25</v>
      </c>
      <c r="C63" s="38"/>
      <c r="D63" s="38"/>
      <c r="E63" s="38"/>
      <c r="F63" s="38"/>
      <c r="G63" s="38"/>
      <c r="H63" s="1"/>
      <c r="I63" s="1"/>
      <c r="J63" s="1"/>
      <c r="K63" s="1"/>
    </row>
    <row r="64" spans="2:11" x14ac:dyDescent="0.35">
      <c r="B64" s="16" t="s">
        <v>64</v>
      </c>
      <c r="C64" s="38">
        <f>E55</f>
        <v>18943.5</v>
      </c>
      <c r="D64" s="38">
        <f>F55</f>
        <v>19321</v>
      </c>
      <c r="E64" s="38">
        <f>G55</f>
        <v>19709</v>
      </c>
      <c r="F64" s="38">
        <f>H55</f>
        <v>20109</v>
      </c>
      <c r="G64" s="38">
        <f>I55</f>
        <v>20521</v>
      </c>
      <c r="H64" s="1"/>
      <c r="I64" s="1"/>
      <c r="J64" s="1"/>
      <c r="K64" s="1"/>
    </row>
    <row r="65" spans="2:11" x14ac:dyDescent="0.35">
      <c r="B65" s="16" t="s">
        <v>65</v>
      </c>
      <c r="C65" s="38">
        <f>G29</f>
        <v>1828</v>
      </c>
      <c r="D65" s="38">
        <f>H29</f>
        <v>595</v>
      </c>
      <c r="E65" s="38">
        <f>I29</f>
        <v>614</v>
      </c>
      <c r="F65" s="38">
        <f>J29</f>
        <v>904</v>
      </c>
      <c r="G65" s="38">
        <f>K29</f>
        <v>651</v>
      </c>
      <c r="H65" s="1"/>
      <c r="I65" s="1"/>
      <c r="J65" s="1"/>
      <c r="K65" s="1"/>
    </row>
    <row r="66" spans="2:11" x14ac:dyDescent="0.35">
      <c r="B66" s="16" t="s">
        <v>28</v>
      </c>
      <c r="C66" s="38">
        <f>C64+C65</f>
        <v>20771.5</v>
      </c>
      <c r="D66" s="38">
        <f>D64+D65</f>
        <v>19916</v>
      </c>
      <c r="E66" s="38">
        <f>E64+E65</f>
        <v>20323</v>
      </c>
      <c r="F66" s="38">
        <f>F64+F65</f>
        <v>21013</v>
      </c>
      <c r="G66" s="38">
        <f>G64+G65</f>
        <v>21172</v>
      </c>
      <c r="H66" s="1"/>
      <c r="I66" s="1"/>
      <c r="J66" s="1"/>
      <c r="K66" s="1"/>
    </row>
    <row r="67" spans="2:11" x14ac:dyDescent="0.35">
      <c r="B67" s="16" t="s">
        <v>26</v>
      </c>
      <c r="C67" s="38">
        <f>C62-C66</f>
        <v>33828.500000000007</v>
      </c>
      <c r="D67" s="38">
        <f>D62-D66</f>
        <v>34684.000000000007</v>
      </c>
      <c r="E67" s="38">
        <f>E62-E66</f>
        <v>34277.000000000007</v>
      </c>
      <c r="F67" s="38">
        <f>F62-F66</f>
        <v>33587.000000000007</v>
      </c>
      <c r="G67" s="38">
        <f>G62-G66</f>
        <v>33428.000000000007</v>
      </c>
      <c r="H67" s="1"/>
      <c r="I67" s="1"/>
      <c r="J67" s="1"/>
      <c r="K67" s="1"/>
    </row>
    <row r="68" spans="2:11" x14ac:dyDescent="0.35">
      <c r="B68" s="16" t="s">
        <v>27</v>
      </c>
      <c r="C68" s="38">
        <f>C61+C67</f>
        <v>33828.500000000007</v>
      </c>
      <c r="D68" s="38">
        <f>D61+D67</f>
        <v>68512.500000000015</v>
      </c>
      <c r="E68" s="38">
        <f>E61+E67</f>
        <v>102789.50000000003</v>
      </c>
      <c r="F68" s="38">
        <f>F61+F67</f>
        <v>136376.50000000003</v>
      </c>
      <c r="G68" s="38">
        <f>G61+G67</f>
        <v>169804.50000000003</v>
      </c>
      <c r="H68" s="1"/>
      <c r="I68" s="1"/>
      <c r="J68" s="1"/>
      <c r="K68" s="1"/>
    </row>
    <row r="69" spans="2:11" x14ac:dyDescent="0.35">
      <c r="B69" s="7"/>
      <c r="C69" s="7"/>
      <c r="D69" s="7"/>
      <c r="E69" s="40"/>
      <c r="F69" s="40"/>
      <c r="G69" s="40"/>
      <c r="H69" s="40"/>
      <c r="I69" s="40"/>
      <c r="J69" s="1"/>
      <c r="K69" s="1"/>
    </row>
    <row r="70" spans="2:11" ht="21.5" x14ac:dyDescent="0.75">
      <c r="B70" s="107"/>
      <c r="C70" s="107"/>
      <c r="D70" s="107"/>
      <c r="E70" s="244" t="s">
        <v>118</v>
      </c>
      <c r="F70" s="244"/>
      <c r="G70" s="1"/>
      <c r="H70" s="1"/>
      <c r="I70" s="1"/>
      <c r="J70" s="1"/>
      <c r="K70" s="1"/>
    </row>
    <row r="71" spans="2:11" x14ac:dyDescent="0.35">
      <c r="B71" s="107"/>
      <c r="C71" s="107"/>
      <c r="D71" s="107"/>
      <c r="E71" s="145"/>
      <c r="F71" s="145"/>
      <c r="G71" s="1"/>
      <c r="H71" s="1"/>
      <c r="I71" s="1"/>
      <c r="J71" s="1"/>
      <c r="K71" s="1"/>
    </row>
    <row r="72" spans="2:11" ht="16" thickBot="1" x14ac:dyDescent="0.4">
      <c r="B72" s="23" t="str">
        <f>Budget!A68</f>
        <v>Capital Item</v>
      </c>
      <c r="C72" s="34" t="str">
        <f>Budget!B68</f>
        <v>Unit Cost</v>
      </c>
      <c r="D72" s="33" t="str">
        <f>Budget!C68</f>
        <v>Years of Life</v>
      </c>
      <c r="E72" s="33" t="str">
        <f>Budget!D68</f>
        <v>Year 1</v>
      </c>
      <c r="F72" s="33" t="str">
        <f>Budget!E68</f>
        <v>Year 2</v>
      </c>
      <c r="G72" s="33" t="str">
        <f>Budget!F68</f>
        <v>Year 3</v>
      </c>
      <c r="H72" s="33" t="str">
        <f>Budget!G68</f>
        <v>Year 4</v>
      </c>
      <c r="I72" s="33" t="str">
        <f>Budget!H68</f>
        <v>Year 5</v>
      </c>
      <c r="J72" s="1"/>
      <c r="K72" s="1"/>
    </row>
    <row r="73" spans="2:11" x14ac:dyDescent="0.35">
      <c r="B73" s="25" t="str">
        <f>Budget!A69</f>
        <v>Nursery Bag</v>
      </c>
      <c r="C73" s="144">
        <f>Budget!B69</f>
        <v>7</v>
      </c>
      <c r="D73" s="140">
        <f>Budget!C69</f>
        <v>4</v>
      </c>
      <c r="E73" s="26">
        <f>Budget!D69</f>
        <v>175</v>
      </c>
      <c r="F73" s="26">
        <f>Budget!E69</f>
        <v>180</v>
      </c>
      <c r="G73" s="26">
        <f>Budget!F69</f>
        <v>185</v>
      </c>
      <c r="H73" s="26">
        <f>Budget!G69</f>
        <v>191</v>
      </c>
      <c r="I73" s="26">
        <f>Budget!H69</f>
        <v>197</v>
      </c>
      <c r="J73" s="1"/>
      <c r="K73" s="1"/>
    </row>
    <row r="74" spans="2:11" x14ac:dyDescent="0.35">
      <c r="B74" s="16" t="str">
        <f>Budget!A70</f>
        <v>Growout Bag</v>
      </c>
      <c r="C74" s="144">
        <f>Budget!B70</f>
        <v>6.2</v>
      </c>
      <c r="D74" s="141">
        <f>Budget!C70</f>
        <v>10</v>
      </c>
      <c r="E74" s="26">
        <f>Budget!D70</f>
        <v>404</v>
      </c>
      <c r="F74" s="26">
        <f>Budget!E70</f>
        <v>416</v>
      </c>
      <c r="G74" s="26">
        <f>Budget!F70</f>
        <v>428</v>
      </c>
      <c r="H74" s="26">
        <f>Budget!G70</f>
        <v>441</v>
      </c>
      <c r="I74" s="26">
        <f>Budget!H70</f>
        <v>454</v>
      </c>
      <c r="J74" s="1"/>
      <c r="K74" s="1"/>
    </row>
    <row r="75" spans="2:11" x14ac:dyDescent="0.35">
      <c r="B75" s="16" t="str">
        <f>Budget!A71</f>
        <v>Wet Suit</v>
      </c>
      <c r="C75" s="144">
        <f>Budget!B71</f>
        <v>250</v>
      </c>
      <c r="D75" s="141">
        <f>Budget!C71</f>
        <v>3</v>
      </c>
      <c r="E75" s="24">
        <f>Budget!D71</f>
        <v>83.333333333333329</v>
      </c>
      <c r="F75" s="24">
        <f>Budget!E71</f>
        <v>86</v>
      </c>
      <c r="G75" s="24">
        <f>Budget!F71</f>
        <v>89</v>
      </c>
      <c r="H75" s="24">
        <f>Budget!G71</f>
        <v>92</v>
      </c>
      <c r="I75" s="24">
        <f>Budget!H71</f>
        <v>95</v>
      </c>
      <c r="J75" s="1"/>
      <c r="K75" s="1"/>
    </row>
    <row r="76" spans="2:11" x14ac:dyDescent="0.35">
      <c r="B76" s="16" t="str">
        <f>Budget!A72</f>
        <v>Boat</v>
      </c>
      <c r="C76" s="144">
        <f>Budget!B72</f>
        <v>18000</v>
      </c>
      <c r="D76" s="141">
        <f>Budget!C72</f>
        <v>7</v>
      </c>
      <c r="E76" s="24">
        <f>Budget!D72</f>
        <v>0</v>
      </c>
      <c r="F76" s="24">
        <f>Budget!E72</f>
        <v>0</v>
      </c>
      <c r="G76" s="24">
        <f>Budget!F72</f>
        <v>0</v>
      </c>
      <c r="H76" s="24">
        <f>Budget!G72</f>
        <v>0</v>
      </c>
      <c r="I76" s="24">
        <f>Budget!H72</f>
        <v>0</v>
      </c>
      <c r="J76" s="1"/>
      <c r="K76" s="1"/>
    </row>
    <row r="77" spans="2:11" x14ac:dyDescent="0.35">
      <c r="B77" s="16" t="str">
        <f>Budget!A73</f>
        <v>Truck</v>
      </c>
      <c r="C77" s="144">
        <f>Budget!B73</f>
        <v>28000</v>
      </c>
      <c r="D77" s="141">
        <f>Budget!C73</f>
        <v>10</v>
      </c>
      <c r="E77" s="24">
        <f>Budget!D73</f>
        <v>0</v>
      </c>
      <c r="F77" s="24">
        <f>Budget!E73</f>
        <v>0</v>
      </c>
      <c r="G77" s="24">
        <f>Budget!F73</f>
        <v>0</v>
      </c>
      <c r="H77" s="24">
        <f>Budget!G73</f>
        <v>0</v>
      </c>
      <c r="I77" s="24">
        <f>Budget!H73</f>
        <v>0</v>
      </c>
      <c r="J77" s="1"/>
      <c r="K77" s="1"/>
    </row>
    <row r="78" spans="2:11" x14ac:dyDescent="0.35">
      <c r="B78" s="16" t="str">
        <f>Budget!A74</f>
        <v>Motor</v>
      </c>
      <c r="C78" s="144">
        <f>Budget!B74</f>
        <v>10000</v>
      </c>
      <c r="D78" s="141">
        <f>Budget!C74</f>
        <v>3</v>
      </c>
      <c r="E78" s="24">
        <f>Budget!D74</f>
        <v>0</v>
      </c>
      <c r="F78" s="24">
        <f>Budget!E74</f>
        <v>0</v>
      </c>
      <c r="G78" s="24">
        <f>Budget!F74</f>
        <v>0</v>
      </c>
      <c r="H78" s="24">
        <f>Budget!G74</f>
        <v>0</v>
      </c>
      <c r="I78" s="24">
        <f>Budget!H74</f>
        <v>0</v>
      </c>
      <c r="J78" s="1"/>
      <c r="K78" s="1"/>
    </row>
    <row r="79" spans="2:11" ht="44" thickBot="1" x14ac:dyDescent="0.4">
      <c r="B79" s="98" t="str">
        <f>Budget!A75</f>
        <v>Winch/Davit/Boom/Pulley/Batteries</v>
      </c>
      <c r="C79" s="129">
        <f>Budget!B75</f>
        <v>1000</v>
      </c>
      <c r="D79" s="142">
        <f>Budget!C75</f>
        <v>5</v>
      </c>
      <c r="E79" s="28">
        <f>Budget!D75</f>
        <v>200</v>
      </c>
      <c r="F79" s="28">
        <f>Budget!E75</f>
        <v>206</v>
      </c>
      <c r="G79" s="28">
        <f>Budget!F75</f>
        <v>212</v>
      </c>
      <c r="H79" s="28">
        <f>Budget!G75</f>
        <v>218</v>
      </c>
      <c r="I79" s="28">
        <f>Budget!H75</f>
        <v>225</v>
      </c>
      <c r="J79" s="1"/>
      <c r="K79" s="1"/>
    </row>
    <row r="80" spans="2:11" x14ac:dyDescent="0.35">
      <c r="B80" s="5" t="str">
        <f>Budget!A76</f>
        <v xml:space="preserve">Total Investment </v>
      </c>
      <c r="C80" s="6">
        <f>Budget!B76</f>
        <v>0</v>
      </c>
      <c r="D80" s="7">
        <f>Budget!C76</f>
        <v>0</v>
      </c>
      <c r="E80" s="15">
        <f>Budget!D76</f>
        <v>862.33333333333337</v>
      </c>
      <c r="F80" s="15">
        <f>Budget!E76</f>
        <v>888</v>
      </c>
      <c r="G80" s="15">
        <f>Budget!F76</f>
        <v>914</v>
      </c>
      <c r="H80" s="15">
        <f>Budget!G76</f>
        <v>942</v>
      </c>
      <c r="I80" s="15">
        <f>Budget!H76</f>
        <v>971</v>
      </c>
      <c r="J80" s="1"/>
      <c r="K80" s="1"/>
    </row>
    <row r="81" spans="2:11" x14ac:dyDescent="0.35">
      <c r="B81" s="7"/>
      <c r="C81" s="7"/>
      <c r="D81" s="7"/>
      <c r="E81" s="40"/>
      <c r="F81" s="40"/>
      <c r="G81" s="40"/>
      <c r="H81" s="40"/>
      <c r="I81" s="40"/>
      <c r="J81" s="1"/>
      <c r="K81" s="1"/>
    </row>
    <row r="82" spans="2:11" x14ac:dyDescent="0.35">
      <c r="B82" s="1"/>
      <c r="C82" s="1"/>
      <c r="D82" s="1"/>
      <c r="E82" s="4"/>
      <c r="F82" s="1"/>
      <c r="G82" s="1"/>
      <c r="H82" s="1"/>
      <c r="I82" s="1"/>
      <c r="J82" s="1"/>
      <c r="K82" s="1"/>
    </row>
    <row r="83" spans="2:11" ht="18.5" x14ac:dyDescent="0.45">
      <c r="B83" s="236" t="s">
        <v>75</v>
      </c>
      <c r="C83" s="236"/>
      <c r="D83" s="236"/>
      <c r="E83" s="236"/>
      <c r="F83" s="236"/>
      <c r="G83" s="236"/>
      <c r="H83" s="143"/>
      <c r="I83" s="143"/>
      <c r="J83" s="1"/>
      <c r="K83" s="1"/>
    </row>
    <row r="84" spans="2:11" ht="16" thickBot="1" x14ac:dyDescent="0.4">
      <c r="B84" s="33" t="s">
        <v>29</v>
      </c>
      <c r="C84" s="33"/>
      <c r="D84" s="34" t="s">
        <v>30</v>
      </c>
      <c r="E84" s="33" t="s">
        <v>31</v>
      </c>
      <c r="F84" s="33" t="s">
        <v>32</v>
      </c>
      <c r="G84" s="1"/>
      <c r="H84" s="1"/>
      <c r="I84" s="1"/>
      <c r="J84" s="1"/>
      <c r="K84" s="1"/>
    </row>
    <row r="85" spans="2:11" x14ac:dyDescent="0.35">
      <c r="B85" s="31" t="s">
        <v>33</v>
      </c>
      <c r="C85" s="31"/>
      <c r="D85" s="6"/>
      <c r="E85" s="7"/>
      <c r="F85" s="7"/>
      <c r="G85" s="1"/>
      <c r="H85" s="1"/>
      <c r="I85" s="1"/>
      <c r="J85" s="1"/>
      <c r="K85" s="1"/>
    </row>
    <row r="86" spans="2:11" x14ac:dyDescent="0.35">
      <c r="B86" s="7" t="s">
        <v>34</v>
      </c>
      <c r="C86" s="7"/>
      <c r="D86" s="50">
        <f>F13*D90</f>
        <v>420000.00000000006</v>
      </c>
      <c r="E86" s="51">
        <f>I7</f>
        <v>0.1</v>
      </c>
      <c r="F86" s="11">
        <f>E86*D86</f>
        <v>42000.000000000007</v>
      </c>
      <c r="G86" s="1"/>
      <c r="H86" s="1"/>
      <c r="I86" s="1"/>
      <c r="J86" s="1"/>
      <c r="K86" s="1"/>
    </row>
    <row r="87" spans="2:11" x14ac:dyDescent="0.35">
      <c r="B87" s="7" t="s">
        <v>35</v>
      </c>
      <c r="C87" s="7"/>
      <c r="D87" s="50">
        <f>F14*D90</f>
        <v>120000.00000000003</v>
      </c>
      <c r="E87" s="51">
        <f>I8</f>
        <v>0.08</v>
      </c>
      <c r="F87" s="11">
        <f>E87*D87</f>
        <v>9600.0000000000018</v>
      </c>
      <c r="G87" s="1"/>
      <c r="H87" s="1"/>
      <c r="I87" s="1"/>
      <c r="J87" s="1"/>
      <c r="K87" s="1"/>
    </row>
    <row r="88" spans="2:11" x14ac:dyDescent="0.35">
      <c r="B88" s="7" t="s">
        <v>36</v>
      </c>
      <c r="C88" s="7"/>
      <c r="D88" s="50">
        <f>F15*D90</f>
        <v>60000.000000000015</v>
      </c>
      <c r="E88" s="52">
        <f>I9</f>
        <v>0.05</v>
      </c>
      <c r="F88" s="13">
        <f>E88*D88</f>
        <v>3000.0000000000009</v>
      </c>
      <c r="G88" s="1"/>
      <c r="H88" s="1"/>
      <c r="I88" s="1"/>
      <c r="J88" s="1"/>
      <c r="K88" s="1"/>
    </row>
    <row r="89" spans="2:11" x14ac:dyDescent="0.35">
      <c r="B89" s="261"/>
      <c r="C89" s="261"/>
      <c r="D89" s="261"/>
      <c r="E89" s="261"/>
      <c r="F89" s="261"/>
      <c r="G89" s="261"/>
      <c r="H89" s="1"/>
      <c r="I89" s="1"/>
      <c r="J89" s="1"/>
      <c r="K89" s="1"/>
    </row>
    <row r="90" spans="2:11" x14ac:dyDescent="0.35">
      <c r="B90" s="5" t="s">
        <v>79</v>
      </c>
      <c r="C90" s="5"/>
      <c r="D90" s="50">
        <f>D93*F11</f>
        <v>600000.00000000012</v>
      </c>
      <c r="E90" s="51"/>
      <c r="F90" s="53">
        <f>SUM(F86:F88)</f>
        <v>54600.000000000007</v>
      </c>
      <c r="G90" s="1"/>
      <c r="H90" s="1"/>
      <c r="I90" s="1"/>
      <c r="J90" s="1"/>
      <c r="K90" s="1"/>
    </row>
    <row r="91" spans="2:11" x14ac:dyDescent="0.35">
      <c r="B91" s="261"/>
      <c r="C91" s="261"/>
      <c r="D91" s="261"/>
      <c r="E91" s="261"/>
      <c r="F91" s="261"/>
      <c r="G91" s="261"/>
      <c r="H91" s="1"/>
      <c r="I91" s="1"/>
      <c r="J91" s="1"/>
      <c r="K91" s="1"/>
    </row>
    <row r="92" spans="2:11" x14ac:dyDescent="0.35">
      <c r="B92" s="31" t="s">
        <v>14</v>
      </c>
      <c r="C92" s="31"/>
      <c r="D92" s="31"/>
      <c r="E92" s="50"/>
      <c r="F92" s="51"/>
      <c r="G92" s="11"/>
      <c r="H92" s="1"/>
      <c r="I92" s="1"/>
      <c r="J92" s="1"/>
      <c r="K92" s="1"/>
    </row>
    <row r="93" spans="2:11" x14ac:dyDescent="0.35">
      <c r="B93" s="7" t="s">
        <v>82</v>
      </c>
      <c r="C93" s="7"/>
      <c r="D93" s="50">
        <f>F5</f>
        <v>1000000</v>
      </c>
      <c r="E93" s="52">
        <f>I5</f>
        <v>6.0000000000000001E-3</v>
      </c>
      <c r="F93" s="11">
        <f>E93*D93</f>
        <v>6000</v>
      </c>
      <c r="G93" s="1"/>
      <c r="H93" s="1"/>
      <c r="I93" s="1"/>
      <c r="J93" s="1"/>
      <c r="K93" s="1"/>
    </row>
    <row r="94" spans="2:11" x14ac:dyDescent="0.35">
      <c r="B94" s="7" t="s">
        <v>83</v>
      </c>
      <c r="C94" s="7"/>
      <c r="D94" s="50">
        <f>F18+F17</f>
        <v>752</v>
      </c>
      <c r="E94" s="11">
        <f>D41</f>
        <v>2</v>
      </c>
      <c r="F94" s="11">
        <f>E94*D94</f>
        <v>1504</v>
      </c>
      <c r="G94" s="1"/>
      <c r="H94" s="1"/>
      <c r="I94" s="1"/>
      <c r="J94" s="1"/>
      <c r="K94" s="1"/>
    </row>
    <row r="95" spans="2:11" x14ac:dyDescent="0.35">
      <c r="B95" s="7" t="s">
        <v>84</v>
      </c>
      <c r="C95" s="7"/>
      <c r="D95" s="50">
        <f>C42</f>
        <v>205</v>
      </c>
      <c r="E95" s="51">
        <f>D42</f>
        <v>3.5</v>
      </c>
      <c r="F95" s="11">
        <f>ROUND(E95*D95,0)</f>
        <v>718</v>
      </c>
      <c r="G95" s="1"/>
      <c r="H95" s="1"/>
      <c r="I95" s="1"/>
      <c r="J95" s="1"/>
      <c r="K95" s="1"/>
    </row>
    <row r="96" spans="2:11" x14ac:dyDescent="0.35">
      <c r="B96" s="7" t="s">
        <v>85</v>
      </c>
      <c r="C96" s="7"/>
      <c r="D96" s="50">
        <f>C43</f>
        <v>205</v>
      </c>
      <c r="E96" s="51">
        <f>D43</f>
        <v>3.5</v>
      </c>
      <c r="F96" s="11">
        <f>ROUND(E96*D96,0)</f>
        <v>718</v>
      </c>
      <c r="G96" s="1"/>
      <c r="H96" s="1"/>
      <c r="I96" s="1"/>
      <c r="J96" s="1"/>
      <c r="K96" s="1"/>
    </row>
    <row r="97" spans="2:11" x14ac:dyDescent="0.35">
      <c r="B97" s="7" t="s">
        <v>109</v>
      </c>
      <c r="C97" s="7"/>
      <c r="D97" s="50"/>
      <c r="E97" s="4"/>
      <c r="F97" s="11">
        <f>D45</f>
        <v>2800</v>
      </c>
      <c r="G97" s="1"/>
      <c r="H97" s="1"/>
      <c r="I97" s="1"/>
      <c r="J97" s="1"/>
      <c r="K97" s="1"/>
    </row>
    <row r="98" spans="2:11" x14ac:dyDescent="0.35">
      <c r="B98" s="7" t="s">
        <v>86</v>
      </c>
      <c r="C98" s="7"/>
      <c r="D98" s="50">
        <f>C46</f>
        <v>662</v>
      </c>
      <c r="E98" s="51">
        <f>D46</f>
        <v>1.25</v>
      </c>
      <c r="F98" s="11">
        <f>ROUND(E98*D98,0)</f>
        <v>828</v>
      </c>
      <c r="G98" s="1"/>
      <c r="H98" s="1"/>
      <c r="I98" s="1"/>
      <c r="J98" s="1"/>
      <c r="K98" s="1"/>
    </row>
    <row r="99" spans="2:11" x14ac:dyDescent="0.35">
      <c r="B99" s="7" t="s">
        <v>87</v>
      </c>
      <c r="C99" s="7"/>
      <c r="D99" s="50">
        <f>C44</f>
        <v>1</v>
      </c>
      <c r="E99" s="11">
        <f>D44</f>
        <v>100</v>
      </c>
      <c r="F99" s="11">
        <f>D99*E99</f>
        <v>100</v>
      </c>
      <c r="G99" s="1"/>
      <c r="H99" s="1"/>
      <c r="I99" s="1"/>
      <c r="J99" s="1"/>
      <c r="K99" s="1"/>
    </row>
    <row r="100" spans="2:11" x14ac:dyDescent="0.35">
      <c r="B100" s="7" t="s">
        <v>105</v>
      </c>
      <c r="C100" s="7"/>
      <c r="D100" s="50"/>
      <c r="E100" s="11"/>
      <c r="F100" s="11">
        <f>D47</f>
        <v>4400</v>
      </c>
      <c r="G100" s="1"/>
      <c r="H100" s="1"/>
      <c r="I100" s="1"/>
      <c r="J100" s="1"/>
      <c r="K100" s="1"/>
    </row>
    <row r="101" spans="2:11" x14ac:dyDescent="0.35">
      <c r="B101" s="7" t="s">
        <v>80</v>
      </c>
      <c r="C101" s="7"/>
      <c r="D101" s="50"/>
      <c r="E101" s="51"/>
      <c r="F101" s="13">
        <f>D48</f>
        <v>250</v>
      </c>
      <c r="G101" s="1"/>
      <c r="H101" s="1"/>
      <c r="I101" s="1"/>
      <c r="J101" s="1"/>
      <c r="K101" s="1"/>
    </row>
    <row r="102" spans="2:11" x14ac:dyDescent="0.35">
      <c r="B102" s="5" t="s">
        <v>37</v>
      </c>
      <c r="C102" s="5"/>
      <c r="D102" s="5"/>
      <c r="E102" s="50"/>
      <c r="F102" s="11">
        <f>SUM(F93:F101)</f>
        <v>17318</v>
      </c>
      <c r="G102" s="53"/>
      <c r="H102" s="1"/>
      <c r="I102" s="1"/>
      <c r="J102" s="1"/>
      <c r="K102" s="1"/>
    </row>
    <row r="103" spans="2:11" x14ac:dyDescent="0.35">
      <c r="B103" s="261"/>
      <c r="C103" s="261"/>
      <c r="D103" s="261"/>
      <c r="E103" s="261"/>
      <c r="F103" s="261"/>
      <c r="G103" s="261"/>
      <c r="H103" s="1"/>
      <c r="I103" s="1"/>
      <c r="J103" s="1"/>
      <c r="K103" s="1"/>
    </row>
    <row r="104" spans="2:11" x14ac:dyDescent="0.35">
      <c r="B104" s="31" t="s">
        <v>38</v>
      </c>
      <c r="C104" s="31"/>
      <c r="D104" s="31"/>
      <c r="E104" s="50"/>
      <c r="F104" s="51"/>
      <c r="G104" s="11"/>
      <c r="H104" s="1"/>
      <c r="I104" s="1"/>
      <c r="J104" s="1"/>
      <c r="K104" s="1"/>
    </row>
    <row r="105" spans="2:11" x14ac:dyDescent="0.35">
      <c r="B105" s="123" t="s">
        <v>19</v>
      </c>
      <c r="C105" s="7"/>
      <c r="D105" s="7"/>
      <c r="E105" s="6"/>
      <c r="F105" s="7"/>
      <c r="G105" s="7"/>
      <c r="H105" s="1"/>
      <c r="I105" s="1"/>
      <c r="J105" s="1"/>
      <c r="K105" s="1"/>
    </row>
    <row r="106" spans="2:11" x14ac:dyDescent="0.35">
      <c r="B106" s="7" t="s">
        <v>114</v>
      </c>
      <c r="C106" s="7"/>
      <c r="D106" s="50">
        <f t="shared" ref="D106:E110" si="2">C50</f>
        <v>1</v>
      </c>
      <c r="E106" s="11">
        <f t="shared" si="2"/>
        <v>750</v>
      </c>
      <c r="F106" s="11">
        <f>E106*D106</f>
        <v>750</v>
      </c>
      <c r="G106" s="1"/>
      <c r="H106" s="1"/>
      <c r="I106" s="1"/>
      <c r="J106" s="1"/>
      <c r="K106" s="1"/>
    </row>
    <row r="107" spans="2:11" x14ac:dyDescent="0.35">
      <c r="B107" s="7" t="s">
        <v>115</v>
      </c>
      <c r="C107" s="7"/>
      <c r="D107" s="50">
        <f t="shared" si="2"/>
        <v>1</v>
      </c>
      <c r="E107" s="11">
        <f t="shared" si="2"/>
        <v>250</v>
      </c>
      <c r="F107" s="11">
        <f>D107*E107</f>
        <v>250</v>
      </c>
      <c r="G107" s="1"/>
      <c r="H107" s="1"/>
      <c r="I107" s="1"/>
      <c r="J107" s="1"/>
      <c r="K107" s="1"/>
    </row>
    <row r="108" spans="2:11" x14ac:dyDescent="0.35">
      <c r="B108" s="7" t="s">
        <v>81</v>
      </c>
      <c r="C108" s="7"/>
      <c r="D108" s="50">
        <f t="shared" si="2"/>
        <v>1</v>
      </c>
      <c r="E108" s="11">
        <f t="shared" si="2"/>
        <v>500</v>
      </c>
      <c r="F108" s="11">
        <f>E108*D108</f>
        <v>500</v>
      </c>
      <c r="G108" s="1"/>
      <c r="H108" s="1"/>
      <c r="I108" s="1"/>
      <c r="J108" s="1"/>
      <c r="K108" s="1"/>
    </row>
    <row r="109" spans="2:11" x14ac:dyDescent="0.35">
      <c r="B109" s="7" t="s">
        <v>112</v>
      </c>
      <c r="C109" s="7"/>
      <c r="D109" s="50">
        <f t="shared" si="2"/>
        <v>1</v>
      </c>
      <c r="E109" s="11">
        <f t="shared" si="2"/>
        <v>27</v>
      </c>
      <c r="F109" s="11">
        <f>D109*E109</f>
        <v>27</v>
      </c>
      <c r="G109" s="1"/>
      <c r="H109" s="1"/>
      <c r="I109" s="1"/>
      <c r="J109" s="1"/>
      <c r="K109" s="1"/>
    </row>
    <row r="110" spans="2:11" x14ac:dyDescent="0.35">
      <c r="B110" s="7" t="s">
        <v>113</v>
      </c>
      <c r="C110" s="7"/>
      <c r="D110" s="50">
        <f t="shared" si="2"/>
        <v>1</v>
      </c>
      <c r="E110" s="11">
        <f t="shared" si="2"/>
        <v>100</v>
      </c>
      <c r="F110" s="11">
        <f>E110*D110</f>
        <v>100</v>
      </c>
      <c r="G110" s="1"/>
      <c r="H110" s="1"/>
      <c r="I110" s="1"/>
      <c r="J110" s="1"/>
      <c r="K110" s="1"/>
    </row>
    <row r="111" spans="2:11" x14ac:dyDescent="0.35">
      <c r="B111" s="261"/>
      <c r="C111" s="261"/>
      <c r="D111" s="261"/>
      <c r="E111" s="261"/>
      <c r="F111" s="261"/>
      <c r="G111" s="261"/>
      <c r="H111" s="1"/>
      <c r="I111" s="1"/>
      <c r="J111" s="1"/>
      <c r="K111" s="1"/>
    </row>
    <row r="112" spans="2:11" x14ac:dyDescent="0.35">
      <c r="B112" s="7" t="s">
        <v>39</v>
      </c>
      <c r="C112" s="7"/>
      <c r="D112" s="7"/>
      <c r="E112" s="6"/>
      <c r="F112" s="11">
        <f>ROUND(AVERAGE(G29:K29),0)</f>
        <v>918</v>
      </c>
      <c r="G112" s="1"/>
      <c r="H112" s="1"/>
      <c r="I112" s="1"/>
      <c r="J112" s="1"/>
      <c r="K112" s="1"/>
    </row>
    <row r="113" spans="2:11" x14ac:dyDescent="0.35">
      <c r="B113" s="7" t="s">
        <v>40</v>
      </c>
      <c r="C113" s="7"/>
      <c r="D113" s="7"/>
      <c r="E113" s="6"/>
      <c r="F113" s="13">
        <f>AVERAGE(E80:I80)</f>
        <v>915.46666666666681</v>
      </c>
      <c r="G113" s="1"/>
      <c r="H113" s="1"/>
      <c r="I113" s="1"/>
      <c r="J113" s="1"/>
      <c r="K113" s="1"/>
    </row>
    <row r="114" spans="2:11" x14ac:dyDescent="0.35">
      <c r="B114" s="5" t="s">
        <v>41</v>
      </c>
      <c r="C114" s="5"/>
      <c r="D114" s="5"/>
      <c r="E114" s="6"/>
      <c r="F114" s="53">
        <f>SUM(F106:F113)</f>
        <v>3460.4666666666667</v>
      </c>
      <c r="G114" s="1"/>
      <c r="H114" s="1"/>
      <c r="I114" s="1"/>
      <c r="J114" s="1"/>
      <c r="K114" s="1"/>
    </row>
    <row r="115" spans="2:11" x14ac:dyDescent="0.35">
      <c r="B115" s="5"/>
      <c r="C115" s="5"/>
      <c r="D115" s="5"/>
      <c r="E115" s="6"/>
      <c r="F115" s="53"/>
      <c r="G115" s="1"/>
      <c r="H115" s="1"/>
      <c r="I115" s="1"/>
      <c r="J115" s="1"/>
      <c r="K115" s="1"/>
    </row>
    <row r="116" spans="2:11" x14ac:dyDescent="0.35">
      <c r="B116" s="31" t="s">
        <v>90</v>
      </c>
      <c r="C116" s="31"/>
      <c r="D116" s="31"/>
      <c r="E116" s="6"/>
      <c r="F116" s="53">
        <f>F114+F102</f>
        <v>20778.466666666667</v>
      </c>
      <c r="G116" s="1"/>
      <c r="H116" s="1"/>
      <c r="I116" s="1"/>
      <c r="J116" s="1"/>
      <c r="K116" s="1"/>
    </row>
    <row r="117" spans="2:11" x14ac:dyDescent="0.35">
      <c r="B117" s="31"/>
      <c r="C117" s="31"/>
      <c r="D117" s="31"/>
      <c r="E117" s="6"/>
      <c r="F117" s="11"/>
      <c r="G117" s="1"/>
      <c r="H117" s="1"/>
      <c r="I117" s="1"/>
      <c r="J117" s="1"/>
      <c r="K117" s="1"/>
    </row>
    <row r="118" spans="2:11" x14ac:dyDescent="0.35">
      <c r="B118" s="31" t="s">
        <v>122</v>
      </c>
      <c r="C118" s="31"/>
      <c r="D118" s="31"/>
      <c r="E118" s="6"/>
      <c r="F118" s="11"/>
      <c r="G118" s="1"/>
      <c r="H118" s="1"/>
      <c r="I118" s="1"/>
      <c r="J118" s="1"/>
      <c r="K118" s="1"/>
    </row>
    <row r="119" spans="2:11" x14ac:dyDescent="0.35">
      <c r="B119" s="123" t="s">
        <v>123</v>
      </c>
      <c r="C119" s="31"/>
      <c r="D119" s="31"/>
      <c r="E119" s="6"/>
      <c r="F119" s="11"/>
      <c r="G119" s="1"/>
      <c r="H119" s="1"/>
      <c r="I119" s="1"/>
      <c r="J119" s="1"/>
      <c r="K119" s="1"/>
    </row>
    <row r="120" spans="2:11" x14ac:dyDescent="0.35">
      <c r="B120" s="5" t="s">
        <v>119</v>
      </c>
      <c r="C120" s="31"/>
      <c r="D120" s="31"/>
      <c r="E120" s="6"/>
      <c r="F120" s="11">
        <f>F90-(F116-F113)</f>
        <v>34737.000000000007</v>
      </c>
      <c r="G120" s="1"/>
      <c r="H120" s="1"/>
      <c r="I120" s="1"/>
      <c r="J120" s="1"/>
      <c r="K120" s="1"/>
    </row>
    <row r="121" spans="2:11" x14ac:dyDescent="0.35">
      <c r="B121" s="5" t="s">
        <v>120</v>
      </c>
      <c r="C121" s="31"/>
      <c r="D121" s="31"/>
      <c r="E121" s="6"/>
      <c r="F121" s="157">
        <f>(F116-F113)/D90</f>
        <v>3.3104999999999996E-2</v>
      </c>
      <c r="G121" s="1"/>
      <c r="H121" s="1"/>
      <c r="I121" s="1"/>
      <c r="J121" s="1"/>
      <c r="K121" s="1"/>
    </row>
    <row r="122" spans="2:11" x14ac:dyDescent="0.35">
      <c r="B122" s="5" t="s">
        <v>121</v>
      </c>
      <c r="C122" s="31"/>
      <c r="D122" s="31"/>
      <c r="E122" s="6"/>
      <c r="F122" s="55">
        <f>((F116-F113)/(E86*(D86/D90)+E87*(D87/D90)+E88*(D88/D90)))/D93</f>
        <v>0.2182747252747253</v>
      </c>
      <c r="G122" s="1"/>
      <c r="H122" s="1"/>
      <c r="I122" s="1"/>
      <c r="J122" s="1"/>
      <c r="K122" s="1"/>
    </row>
    <row r="123" spans="2:11" x14ac:dyDescent="0.35">
      <c r="B123" s="5"/>
      <c r="C123" s="31"/>
      <c r="D123" s="31"/>
      <c r="E123" s="6"/>
      <c r="F123" s="55"/>
      <c r="G123" s="1"/>
      <c r="H123" s="1"/>
      <c r="I123" s="1"/>
      <c r="J123" s="1"/>
      <c r="K123" s="1"/>
    </row>
    <row r="124" spans="2:11" x14ac:dyDescent="0.35">
      <c r="B124" s="158" t="s">
        <v>90</v>
      </c>
      <c r="C124" s="156"/>
      <c r="D124" s="156"/>
      <c r="E124" s="156"/>
      <c r="F124" s="156"/>
      <c r="G124" s="156"/>
      <c r="H124" s="1"/>
      <c r="I124" s="1"/>
      <c r="J124" s="1"/>
      <c r="K124" s="1"/>
    </row>
    <row r="125" spans="2:11" x14ac:dyDescent="0.35">
      <c r="B125" s="5" t="s">
        <v>42</v>
      </c>
      <c r="C125" s="5"/>
      <c r="D125" s="5"/>
      <c r="E125" s="6"/>
      <c r="F125" s="11">
        <f>F90-F116</f>
        <v>33821.53333333334</v>
      </c>
      <c r="G125" s="1"/>
      <c r="H125" s="1"/>
      <c r="I125" s="1"/>
      <c r="J125" s="1"/>
      <c r="K125" s="1"/>
    </row>
    <row r="126" spans="2:11" x14ac:dyDescent="0.35">
      <c r="B126" s="5" t="s">
        <v>43</v>
      </c>
      <c r="C126" s="5"/>
      <c r="D126" s="5"/>
      <c r="E126" s="6"/>
      <c r="F126" s="54">
        <f>F116/D90</f>
        <v>3.4630777777777774E-2</v>
      </c>
      <c r="G126" s="1"/>
      <c r="H126" s="1"/>
      <c r="I126" s="1"/>
      <c r="J126" s="1"/>
      <c r="K126" s="1"/>
    </row>
    <row r="127" spans="2:11" x14ac:dyDescent="0.35">
      <c r="B127" s="5" t="s">
        <v>44</v>
      </c>
      <c r="C127" s="5"/>
      <c r="D127" s="5"/>
      <c r="E127" s="6"/>
      <c r="F127" s="55">
        <f>(F116/(E86*(D86/D90)+E87*(D87/D90)+E88*(D88/D90)))/D93</f>
        <v>0.22833479853479854</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OrEqual" allowBlank="1" showInputMessage="1" showErrorMessage="1" sqref="F15">
      <formula1>0</formula1>
    </dataValidation>
    <dataValidation type="whole" allowBlank="1" showInputMessage="1" showErrorMessage="1" sqref="E25:E28">
      <formula1>0</formula1>
      <formula2>1</formula2>
    </dataValidation>
    <dataValidation type="whole" operator="greaterThan" allowBlank="1" showInputMessage="1" showErrorMessage="1" sqref="C22:C28 D24:D28 E24 F53:I54 E50:E54 F5 E40:E41 F47:I47 E43:E48 D75:D79 C73:C79">
      <formula1>0</formula1>
    </dataValidation>
    <dataValidation type="decimal" operator="greaterThan" allowBlank="1" showInputMessage="1" showErrorMessage="1" sqref="I7:I9 I5 F6:F7 F9:F11 F13:F14">
      <formula1>0</formula1>
    </dataValidation>
  </dataValidations>
  <pageMargins left="0.75" right="0.75" top="1" bottom="1" header="0.5" footer="0.5"/>
  <pageSetup orientation="portrait" horizontalDpi="4294967292" verticalDpi="429496729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27"/>
  <sheetViews>
    <sheetView topLeftCell="A65" workbookViewId="0">
      <selection activeCell="B72" sqref="B72:I80"/>
    </sheetView>
  </sheetViews>
  <sheetFormatPr defaultColWidth="11" defaultRowHeight="15.5" x14ac:dyDescent="0.35"/>
  <sheetData>
    <row r="3" spans="2:11" ht="16" thickBot="1" x14ac:dyDescent="0.4">
      <c r="B3" s="1"/>
      <c r="C3" s="1"/>
      <c r="D3" s="1"/>
      <c r="E3" s="66"/>
      <c r="F3" s="37"/>
      <c r="G3" s="7"/>
      <c r="H3" s="1"/>
      <c r="I3" s="1"/>
      <c r="J3" s="1"/>
      <c r="K3" s="1"/>
    </row>
    <row r="4" spans="2:11" x14ac:dyDescent="0.35">
      <c r="B4" s="1"/>
      <c r="C4" s="1"/>
      <c r="D4" s="18" t="s">
        <v>51</v>
      </c>
      <c r="E4" s="117"/>
      <c r="F4" s="19" t="s">
        <v>50</v>
      </c>
      <c r="G4" s="1"/>
      <c r="H4" s="18" t="s">
        <v>53</v>
      </c>
      <c r="I4" s="19" t="s">
        <v>54</v>
      </c>
      <c r="J4" s="1"/>
      <c r="K4" s="1"/>
    </row>
    <row r="5" spans="2:11" x14ac:dyDescent="0.35">
      <c r="B5" s="1"/>
      <c r="C5" s="1"/>
      <c r="D5" s="239" t="s">
        <v>73</v>
      </c>
      <c r="E5" s="240"/>
      <c r="F5" s="56">
        <f>Budget!E5</f>
        <v>1000000</v>
      </c>
      <c r="G5" s="1"/>
      <c r="H5" s="22" t="s">
        <v>46</v>
      </c>
      <c r="I5" s="62">
        <f>Budget!H5</f>
        <v>6.0000000000000001E-3</v>
      </c>
      <c r="J5" s="1"/>
      <c r="K5" s="1"/>
    </row>
    <row r="6" spans="2:11" x14ac:dyDescent="0.35">
      <c r="B6" s="1"/>
      <c r="C6" s="1"/>
      <c r="D6" s="247" t="s">
        <v>60</v>
      </c>
      <c r="E6" s="248"/>
      <c r="F6" s="57">
        <f>Budget!E6</f>
        <v>10000</v>
      </c>
      <c r="G6" s="1"/>
      <c r="H6" s="43" t="s">
        <v>47</v>
      </c>
      <c r="I6" s="21">
        <f>Budget!H6</f>
        <v>0</v>
      </c>
      <c r="J6" s="1"/>
      <c r="K6" s="1"/>
    </row>
    <row r="7" spans="2:11" x14ac:dyDescent="0.35">
      <c r="B7" s="1"/>
      <c r="C7" s="1"/>
      <c r="D7" s="239" t="s">
        <v>55</v>
      </c>
      <c r="E7" s="240"/>
      <c r="F7" s="82">
        <f>Budget!E7</f>
        <v>1150</v>
      </c>
      <c r="G7" s="1"/>
      <c r="H7" s="20" t="s">
        <v>67</v>
      </c>
      <c r="I7" s="45">
        <f>'Cash Cost Sensitivities (2)'!A13</f>
        <v>0.09</v>
      </c>
      <c r="J7" s="1"/>
      <c r="K7" s="1"/>
    </row>
    <row r="8" spans="2:11" x14ac:dyDescent="0.35">
      <c r="B8" s="1"/>
      <c r="C8" s="1"/>
      <c r="D8" s="239" t="s">
        <v>56</v>
      </c>
      <c r="E8" s="240"/>
      <c r="F8" s="59"/>
      <c r="G8" s="1"/>
      <c r="H8" s="20" t="s">
        <v>62</v>
      </c>
      <c r="I8" s="45">
        <f>'Cash Cost Sensitivities (2)'!B13</f>
        <v>7.0000000000000007E-2</v>
      </c>
      <c r="J8" s="1"/>
      <c r="K8" s="1"/>
    </row>
    <row r="9" spans="2:11" ht="16" thickBot="1" x14ac:dyDescent="0.4">
      <c r="B9" s="1"/>
      <c r="C9" s="1"/>
      <c r="D9" s="237" t="s">
        <v>57</v>
      </c>
      <c r="E9" s="238"/>
      <c r="F9" s="60">
        <f>Budget!E9</f>
        <v>0.75</v>
      </c>
      <c r="G9" s="1"/>
      <c r="H9" s="44" t="s">
        <v>63</v>
      </c>
      <c r="I9" s="46">
        <f>'Cash Cost Sensitivities (2)'!C13</f>
        <v>4.4999999999999998E-2</v>
      </c>
      <c r="J9" s="1"/>
      <c r="K9" s="1"/>
    </row>
    <row r="10" spans="2:11" x14ac:dyDescent="0.35">
      <c r="B10" s="1"/>
      <c r="C10" s="1"/>
      <c r="D10" s="237" t="s">
        <v>58</v>
      </c>
      <c r="E10" s="238"/>
      <c r="F10" s="60">
        <f>Budget!E10</f>
        <v>0.8</v>
      </c>
      <c r="G10" s="1"/>
      <c r="H10" s="17"/>
      <c r="I10" s="1"/>
      <c r="J10" s="1"/>
      <c r="K10" s="1"/>
    </row>
    <row r="11" spans="2:11" x14ac:dyDescent="0.35">
      <c r="B11" s="1"/>
      <c r="C11" s="1"/>
      <c r="D11" s="237" t="s">
        <v>59</v>
      </c>
      <c r="E11" s="238"/>
      <c r="F11" s="132">
        <f>F9*F10</f>
        <v>0.60000000000000009</v>
      </c>
      <c r="G11" s="1"/>
      <c r="H11" s="138"/>
      <c r="I11" s="139"/>
      <c r="J11" s="1"/>
      <c r="K11" s="1"/>
    </row>
    <row r="12" spans="2:11" x14ac:dyDescent="0.35">
      <c r="B12" s="1"/>
      <c r="C12" s="1"/>
      <c r="D12" s="239" t="s">
        <v>52</v>
      </c>
      <c r="E12" s="240"/>
      <c r="F12" s="241"/>
      <c r="G12" s="1"/>
      <c r="H12" s="1"/>
      <c r="I12" s="1"/>
      <c r="J12" s="1"/>
      <c r="K12" s="1"/>
    </row>
    <row r="13" spans="2:11" x14ac:dyDescent="0.35">
      <c r="B13" s="1"/>
      <c r="C13" s="1"/>
      <c r="D13" s="237" t="s">
        <v>61</v>
      </c>
      <c r="E13" s="238"/>
      <c r="F13" s="60">
        <f>Budget!E13</f>
        <v>0.7</v>
      </c>
      <c r="G13" s="1"/>
      <c r="H13" s="1"/>
      <c r="I13" s="1"/>
      <c r="J13" s="1"/>
      <c r="K13" s="1"/>
    </row>
    <row r="14" spans="2:11" x14ac:dyDescent="0.35">
      <c r="B14" s="1"/>
      <c r="C14" s="1"/>
      <c r="D14" s="237" t="s">
        <v>62</v>
      </c>
      <c r="E14" s="238"/>
      <c r="F14" s="60">
        <f>Budget!E14</f>
        <v>0.2</v>
      </c>
      <c r="G14" s="1"/>
      <c r="H14" s="1"/>
      <c r="I14" s="1"/>
      <c r="J14" s="1"/>
      <c r="K14" s="1"/>
    </row>
    <row r="15" spans="2:11" x14ac:dyDescent="0.35">
      <c r="B15" s="1"/>
      <c r="C15" s="1"/>
      <c r="D15" s="237" t="s">
        <v>63</v>
      </c>
      <c r="E15" s="238"/>
      <c r="F15" s="105">
        <f>Budget!E15</f>
        <v>0.1</v>
      </c>
      <c r="G15" s="1"/>
      <c r="H15" s="1"/>
      <c r="I15" s="1"/>
      <c r="J15" s="1"/>
      <c r="K15" s="1"/>
    </row>
    <row r="16" spans="2:11" x14ac:dyDescent="0.35">
      <c r="B16" s="7"/>
      <c r="C16" s="7"/>
      <c r="D16" s="242" t="s">
        <v>103</v>
      </c>
      <c r="E16" s="243"/>
      <c r="F16" s="103"/>
      <c r="G16" s="1"/>
      <c r="H16" s="1"/>
      <c r="I16" s="1"/>
      <c r="J16" s="1"/>
      <c r="K16" s="1"/>
    </row>
    <row r="17" spans="2:11" x14ac:dyDescent="0.35">
      <c r="B17" s="1"/>
      <c r="C17" s="1"/>
      <c r="D17" s="250" t="s">
        <v>57</v>
      </c>
      <c r="E17" s="251"/>
      <c r="F17" s="106">
        <f>ROUND(F5/F6,0)</f>
        <v>100</v>
      </c>
      <c r="G17" s="1"/>
      <c r="H17" s="1"/>
      <c r="I17" s="1"/>
      <c r="J17" s="1"/>
      <c r="K17" s="1"/>
    </row>
    <row r="18" spans="2:11" ht="16" thickBot="1" x14ac:dyDescent="0.4">
      <c r="B18" s="2"/>
      <c r="C18" s="2"/>
      <c r="D18" s="252" t="s">
        <v>102</v>
      </c>
      <c r="E18" s="253"/>
      <c r="F18" s="104">
        <f>ROUND(F5*F9/F7,0)</f>
        <v>652</v>
      </c>
      <c r="G18" s="1"/>
      <c r="H18" s="1"/>
      <c r="I18" s="1"/>
      <c r="J18" s="1"/>
      <c r="K18" s="1"/>
    </row>
    <row r="19" spans="2:11" x14ac:dyDescent="0.35">
      <c r="B19" s="2"/>
      <c r="C19" s="2"/>
      <c r="D19" s="2"/>
      <c r="E19" s="14"/>
      <c r="F19" s="2"/>
      <c r="G19" s="1"/>
      <c r="H19" s="1"/>
      <c r="I19" s="1"/>
      <c r="J19" s="1"/>
      <c r="K19" s="1"/>
    </row>
    <row r="20" spans="2:11" ht="18.5" x14ac:dyDescent="0.45">
      <c r="B20" s="236" t="s">
        <v>12</v>
      </c>
      <c r="C20" s="236"/>
      <c r="D20" s="236"/>
      <c r="E20" s="236"/>
      <c r="F20" s="236"/>
      <c r="G20" s="236"/>
      <c r="H20" s="236"/>
      <c r="I20" s="236"/>
      <c r="J20" s="236"/>
      <c r="K20" s="236"/>
    </row>
    <row r="21" spans="2:11" ht="16" thickBot="1" x14ac:dyDescent="0.4">
      <c r="B21" s="23" t="s">
        <v>0</v>
      </c>
      <c r="C21" s="34" t="s">
        <v>1</v>
      </c>
      <c r="D21" s="33" t="s">
        <v>2</v>
      </c>
      <c r="E21" s="33" t="s">
        <v>72</v>
      </c>
      <c r="F21" s="33" t="s">
        <v>117</v>
      </c>
      <c r="G21" s="33" t="s">
        <v>3</v>
      </c>
      <c r="H21" s="33" t="s">
        <v>4</v>
      </c>
      <c r="I21" s="33" t="s">
        <v>5</v>
      </c>
      <c r="J21" s="33" t="s">
        <v>6</v>
      </c>
      <c r="K21" s="33" t="s">
        <v>7</v>
      </c>
    </row>
    <row r="22" spans="2:11" x14ac:dyDescent="0.35">
      <c r="B22" s="25" t="s">
        <v>8</v>
      </c>
      <c r="C22" s="68">
        <f>Budget!B22</f>
        <v>7</v>
      </c>
      <c r="D22" s="140">
        <f>Budget!C22</f>
        <v>4</v>
      </c>
      <c r="E22" s="146">
        <f>Budget!D22</f>
        <v>25</v>
      </c>
      <c r="F22" s="149">
        <f>Budget!E22</f>
        <v>175</v>
      </c>
      <c r="G22" s="149">
        <f>Budget!F22</f>
        <v>175</v>
      </c>
      <c r="H22" s="149">
        <f>Budget!G22</f>
        <v>180</v>
      </c>
      <c r="I22" s="149">
        <f>Budget!H22</f>
        <v>186</v>
      </c>
      <c r="J22" s="149">
        <f>Budget!I22</f>
        <v>191</v>
      </c>
      <c r="K22" s="149">
        <f>Budget!J22</f>
        <v>197</v>
      </c>
    </row>
    <row r="23" spans="2:11" x14ac:dyDescent="0.35">
      <c r="B23" s="16" t="s">
        <v>9</v>
      </c>
      <c r="C23" s="67">
        <f>Budget!B23</f>
        <v>6.2</v>
      </c>
      <c r="D23" s="141">
        <f>Budget!C23</f>
        <v>10</v>
      </c>
      <c r="E23" s="181">
        <f>Budget!D23</f>
        <v>65</v>
      </c>
      <c r="F23" s="150">
        <f>Budget!E23</f>
        <v>404</v>
      </c>
      <c r="G23" s="150">
        <f>Budget!F23</f>
        <v>403</v>
      </c>
      <c r="H23" s="150">
        <f>Budget!G23</f>
        <v>415</v>
      </c>
      <c r="I23" s="150">
        <f>Budget!H23</f>
        <v>428</v>
      </c>
      <c r="J23" s="150">
        <f>Budget!I23</f>
        <v>440</v>
      </c>
      <c r="K23" s="150">
        <f>Budget!J23</f>
        <v>454</v>
      </c>
    </row>
    <row r="24" spans="2:11" x14ac:dyDescent="0.35">
      <c r="B24" s="16" t="s">
        <v>10</v>
      </c>
      <c r="C24" s="67">
        <f>Budget!B24</f>
        <v>250</v>
      </c>
      <c r="D24" s="141">
        <f>Budget!C24</f>
        <v>3</v>
      </c>
      <c r="E24" s="182">
        <f>Budget!D24</f>
        <v>1</v>
      </c>
      <c r="F24" s="151">
        <f>Budget!E24</f>
        <v>0</v>
      </c>
      <c r="G24" s="150">
        <f>Budget!F24</f>
        <v>250</v>
      </c>
      <c r="H24" s="150">
        <f>Budget!G24</f>
        <v>0</v>
      </c>
      <c r="I24" s="150">
        <f>Budget!H24</f>
        <v>0</v>
      </c>
      <c r="J24" s="150">
        <f>Budget!I24</f>
        <v>273</v>
      </c>
      <c r="K24" s="150">
        <f>Budget!J24</f>
        <v>0</v>
      </c>
    </row>
    <row r="25" spans="2:11" x14ac:dyDescent="0.35">
      <c r="B25" s="16" t="s">
        <v>11</v>
      </c>
      <c r="C25" s="67">
        <f>Budget!B25</f>
        <v>18000</v>
      </c>
      <c r="D25" s="141">
        <f>Budget!C25</f>
        <v>7</v>
      </c>
      <c r="E25" s="141">
        <f>Budget!D25</f>
        <v>0</v>
      </c>
      <c r="F25" s="152">
        <f>Budget!E25</f>
        <v>0</v>
      </c>
      <c r="G25" s="150">
        <f>Budget!F25</f>
        <v>0</v>
      </c>
      <c r="H25" s="150">
        <f>Budget!G25</f>
        <v>0</v>
      </c>
      <c r="I25" s="150">
        <f>Budget!H25</f>
        <v>0</v>
      </c>
      <c r="J25" s="150">
        <f>Budget!I25</f>
        <v>0</v>
      </c>
      <c r="K25" s="150">
        <f>Budget!J25</f>
        <v>0</v>
      </c>
    </row>
    <row r="26" spans="2:11" x14ac:dyDescent="0.35">
      <c r="B26" s="16" t="s">
        <v>69</v>
      </c>
      <c r="C26" s="67">
        <f>Budget!B26</f>
        <v>28000</v>
      </c>
      <c r="D26" s="141">
        <f>Budget!C26</f>
        <v>10</v>
      </c>
      <c r="E26" s="141">
        <f>Budget!D26</f>
        <v>0</v>
      </c>
      <c r="F26" s="152">
        <f>Budget!E26</f>
        <v>0</v>
      </c>
      <c r="G26" s="150">
        <f>Budget!F26</f>
        <v>0</v>
      </c>
      <c r="H26" s="150">
        <f>Budget!G26</f>
        <v>0</v>
      </c>
      <c r="I26" s="150">
        <f>Budget!H26</f>
        <v>0</v>
      </c>
      <c r="J26" s="150">
        <f>Budget!I26</f>
        <v>0</v>
      </c>
      <c r="K26" s="150">
        <f>Budget!J26</f>
        <v>0</v>
      </c>
    </row>
    <row r="27" spans="2:11" x14ac:dyDescent="0.35">
      <c r="B27" s="16" t="s">
        <v>70</v>
      </c>
      <c r="C27" s="67">
        <f>Budget!B27</f>
        <v>10000</v>
      </c>
      <c r="D27" s="141">
        <f>Budget!C27</f>
        <v>3</v>
      </c>
      <c r="E27" s="141">
        <f>Budget!D27</f>
        <v>0</v>
      </c>
      <c r="F27" s="152">
        <f>Budget!E27</f>
        <v>0</v>
      </c>
      <c r="G27" s="150">
        <f>Budget!F27</f>
        <v>0</v>
      </c>
      <c r="H27" s="150">
        <f>Budget!G27</f>
        <v>0</v>
      </c>
      <c r="I27" s="150">
        <f>Budget!H27</f>
        <v>0</v>
      </c>
      <c r="J27" s="150">
        <f>Budget!I27</f>
        <v>0</v>
      </c>
      <c r="K27" s="150">
        <f>Budget!J27</f>
        <v>0</v>
      </c>
    </row>
    <row r="28" spans="2:11" ht="44" thickBot="1" x14ac:dyDescent="0.4">
      <c r="B28" s="98" t="s">
        <v>71</v>
      </c>
      <c r="C28" s="69">
        <f>Budget!B28</f>
        <v>1000</v>
      </c>
      <c r="D28" s="142">
        <f>Budget!C28</f>
        <v>5</v>
      </c>
      <c r="E28" s="142">
        <f>Budget!D28</f>
        <v>1</v>
      </c>
      <c r="F28" s="153">
        <f>Budget!E28</f>
        <v>0</v>
      </c>
      <c r="G28" s="154">
        <f>Budget!F28</f>
        <v>1000</v>
      </c>
      <c r="H28" s="154">
        <f>Budget!G28</f>
        <v>0</v>
      </c>
      <c r="I28" s="154">
        <f>Budget!H28</f>
        <v>0</v>
      </c>
      <c r="J28" s="154">
        <f>Budget!I28</f>
        <v>0</v>
      </c>
      <c r="K28" s="154">
        <f>Budget!J28</f>
        <v>0</v>
      </c>
    </row>
    <row r="29" spans="2:11" x14ac:dyDescent="0.35">
      <c r="B29" s="5" t="s">
        <v>45</v>
      </c>
      <c r="C29" s="6"/>
      <c r="D29" s="7"/>
      <c r="E29" s="7"/>
      <c r="F29" s="15"/>
      <c r="G29" s="15">
        <f>SUM(G22:G28)</f>
        <v>1828</v>
      </c>
      <c r="H29" s="15">
        <f>SUM(H22:H28)</f>
        <v>595</v>
      </c>
      <c r="I29" s="15">
        <f>SUM(I22:I28)</f>
        <v>614</v>
      </c>
      <c r="J29" s="15">
        <f>SUM(J22:J28)</f>
        <v>904</v>
      </c>
      <c r="K29" s="15">
        <f>SUM(K22:K28)</f>
        <v>651</v>
      </c>
    </row>
    <row r="30" spans="2:11" x14ac:dyDescent="0.35">
      <c r="B30" s="1"/>
      <c r="C30" s="1"/>
      <c r="D30" s="1"/>
      <c r="E30" s="4"/>
      <c r="F30" s="1"/>
      <c r="G30" s="1"/>
      <c r="H30" s="1"/>
      <c r="I30" s="1"/>
      <c r="J30" s="1"/>
      <c r="K30" s="1"/>
    </row>
    <row r="31" spans="2:11" x14ac:dyDescent="0.35">
      <c r="B31" s="107"/>
      <c r="C31" s="107"/>
      <c r="D31" s="107"/>
      <c r="E31" s="4"/>
      <c r="F31" s="1"/>
      <c r="G31" s="1"/>
      <c r="H31" s="1"/>
      <c r="I31" s="1"/>
      <c r="J31" s="1"/>
      <c r="K31" s="1"/>
    </row>
    <row r="32" spans="2:11" x14ac:dyDescent="0.35">
      <c r="B32" s="107"/>
      <c r="C32" s="107"/>
      <c r="D32" s="107"/>
      <c r="E32" s="4"/>
      <c r="F32" s="1"/>
      <c r="G32" s="1"/>
      <c r="H32" s="1"/>
      <c r="I32" s="1"/>
      <c r="J32" s="1"/>
      <c r="K32" s="1"/>
    </row>
    <row r="33" spans="2:11" x14ac:dyDescent="0.35">
      <c r="B33" s="107"/>
      <c r="C33" s="107"/>
      <c r="D33" s="107"/>
      <c r="E33" s="4"/>
      <c r="F33" s="1"/>
      <c r="G33" s="1"/>
      <c r="H33" s="1"/>
      <c r="I33" s="1"/>
      <c r="J33" s="1"/>
      <c r="K33" s="1"/>
    </row>
    <row r="34" spans="2:11" x14ac:dyDescent="0.35">
      <c r="B34" s="107"/>
      <c r="C34" s="107"/>
      <c r="D34" s="107"/>
      <c r="E34" s="4"/>
      <c r="F34" s="1"/>
      <c r="G34" s="1"/>
      <c r="H34" s="1"/>
      <c r="I34" s="1"/>
      <c r="J34" s="1"/>
      <c r="K34" s="1"/>
    </row>
    <row r="35" spans="2:11" x14ac:dyDescent="0.35">
      <c r="B35" s="107"/>
      <c r="C35" s="107"/>
      <c r="D35" s="107"/>
      <c r="E35" s="4"/>
      <c r="F35" s="1"/>
      <c r="G35" s="1"/>
      <c r="H35" s="1"/>
      <c r="I35" s="1"/>
      <c r="J35" s="1"/>
      <c r="K35" s="1"/>
    </row>
    <row r="36" spans="2:11" x14ac:dyDescent="0.35">
      <c r="B36" s="107"/>
      <c r="C36" s="107"/>
      <c r="D36" s="107"/>
      <c r="E36" s="4"/>
      <c r="F36" s="1"/>
      <c r="G36" s="1"/>
      <c r="H36" s="1"/>
      <c r="I36" s="1"/>
      <c r="J36" s="1"/>
      <c r="K36" s="1"/>
    </row>
    <row r="37" spans="2:11" ht="18.5" x14ac:dyDescent="0.45">
      <c r="B37" s="236" t="s">
        <v>14</v>
      </c>
      <c r="C37" s="236"/>
      <c r="D37" s="236"/>
      <c r="E37" s="236"/>
      <c r="F37" s="236"/>
      <c r="G37" s="236"/>
      <c r="H37" s="236"/>
      <c r="I37" s="236"/>
      <c r="J37" s="1"/>
      <c r="K37" s="1"/>
    </row>
    <row r="38" spans="2:11" ht="44" thickBot="1" x14ac:dyDescent="0.4">
      <c r="B38" s="33" t="s">
        <v>13</v>
      </c>
      <c r="C38" s="23" t="s">
        <v>107</v>
      </c>
      <c r="D38" s="122" t="s">
        <v>110</v>
      </c>
      <c r="E38" s="34" t="s">
        <v>3</v>
      </c>
      <c r="F38" s="33" t="s">
        <v>4</v>
      </c>
      <c r="G38" s="33" t="s">
        <v>5</v>
      </c>
      <c r="H38" s="33" t="s">
        <v>6</v>
      </c>
      <c r="I38" s="33" t="s">
        <v>7</v>
      </c>
      <c r="J38" s="1"/>
      <c r="K38" s="1"/>
    </row>
    <row r="39" spans="2:11" x14ac:dyDescent="0.35">
      <c r="B39" s="41" t="s">
        <v>14</v>
      </c>
      <c r="C39" s="1"/>
      <c r="D39" s="1"/>
      <c r="E39" s="32"/>
      <c r="F39" s="9"/>
      <c r="G39" s="9"/>
      <c r="H39" s="9"/>
      <c r="I39" s="102"/>
      <c r="J39" s="1"/>
      <c r="K39" s="1"/>
    </row>
    <row r="40" spans="2:11" x14ac:dyDescent="0.35">
      <c r="B40" s="25" t="s">
        <v>15</v>
      </c>
      <c r="C40" s="115">
        <f>F5</f>
        <v>1000000</v>
      </c>
      <c r="D40" s="118">
        <f>I5</f>
        <v>6.0000000000000001E-3</v>
      </c>
      <c r="E40" s="119">
        <f>C40*D40</f>
        <v>6000</v>
      </c>
      <c r="F40" s="30">
        <v>6000</v>
      </c>
      <c r="G40" s="30">
        <v>6000</v>
      </c>
      <c r="H40" s="30">
        <v>6000</v>
      </c>
      <c r="I40" s="30">
        <v>6000</v>
      </c>
      <c r="J40" s="12"/>
      <c r="K40" s="12"/>
    </row>
    <row r="41" spans="2:11" x14ac:dyDescent="0.35">
      <c r="B41" s="16" t="s">
        <v>108</v>
      </c>
      <c r="C41" s="116">
        <f>F17+F18</f>
        <v>752</v>
      </c>
      <c r="D41" s="67">
        <f>Budget!C35</f>
        <v>2</v>
      </c>
      <c r="E41" s="125">
        <f>C41*D41</f>
        <v>1504</v>
      </c>
      <c r="F41" s="29">
        <f>ROUND(E41+E41*0.03,0)</f>
        <v>1549</v>
      </c>
      <c r="G41" s="29">
        <f>ROUND(F41+F41*0.03,0)</f>
        <v>1595</v>
      </c>
      <c r="H41" s="29">
        <f t="shared" ref="H41:I52" si="0">ROUND(G41+G41*0.03,0)</f>
        <v>1643</v>
      </c>
      <c r="I41" s="29">
        <f t="shared" si="0"/>
        <v>1692</v>
      </c>
      <c r="J41" s="1"/>
      <c r="K41" s="1"/>
    </row>
    <row r="42" spans="2:11" x14ac:dyDescent="0.35">
      <c r="B42" s="16" t="s">
        <v>16</v>
      </c>
      <c r="C42" s="131">
        <f>Budget!B36</f>
        <v>205</v>
      </c>
      <c r="D42" s="67">
        <f>Budget!C36</f>
        <v>3.5</v>
      </c>
      <c r="E42" s="125">
        <f>C42*D42</f>
        <v>717.5</v>
      </c>
      <c r="F42" s="29">
        <f t="shared" ref="F42:G48" si="1">ROUND(E42+E42*0.03,0)</f>
        <v>739</v>
      </c>
      <c r="G42" s="29">
        <f t="shared" si="1"/>
        <v>761</v>
      </c>
      <c r="H42" s="29">
        <f t="shared" si="0"/>
        <v>784</v>
      </c>
      <c r="I42" s="29">
        <f t="shared" si="0"/>
        <v>808</v>
      </c>
      <c r="J42" s="1"/>
      <c r="K42" s="1"/>
    </row>
    <row r="43" spans="2:11" x14ac:dyDescent="0.35">
      <c r="B43" s="16" t="s">
        <v>17</v>
      </c>
      <c r="C43" s="131">
        <f>Budget!B37</f>
        <v>205</v>
      </c>
      <c r="D43" s="67">
        <f>Budget!C37</f>
        <v>3.5</v>
      </c>
      <c r="E43" s="125">
        <f>C43*D43</f>
        <v>717.5</v>
      </c>
      <c r="F43" s="29">
        <f t="shared" si="1"/>
        <v>739</v>
      </c>
      <c r="G43" s="29">
        <f t="shared" si="1"/>
        <v>761</v>
      </c>
      <c r="H43" s="29">
        <f t="shared" si="0"/>
        <v>784</v>
      </c>
      <c r="I43" s="29">
        <f t="shared" si="0"/>
        <v>808</v>
      </c>
      <c r="J43" s="1"/>
      <c r="K43" s="1"/>
    </row>
    <row r="44" spans="2:11" x14ac:dyDescent="0.35">
      <c r="B44" s="16" t="s">
        <v>18</v>
      </c>
      <c r="C44" s="164">
        <f>Budget!B38</f>
        <v>1</v>
      </c>
      <c r="D44" s="67">
        <f>Budget!C38</f>
        <v>100</v>
      </c>
      <c r="E44" s="125">
        <f>C44*D44</f>
        <v>100</v>
      </c>
      <c r="F44" s="29">
        <f t="shared" si="1"/>
        <v>103</v>
      </c>
      <c r="G44" s="29">
        <f t="shared" si="1"/>
        <v>106</v>
      </c>
      <c r="H44" s="29">
        <f t="shared" si="0"/>
        <v>109</v>
      </c>
      <c r="I44" s="29">
        <f t="shared" si="0"/>
        <v>112</v>
      </c>
      <c r="J44" s="1"/>
      <c r="K44" s="1"/>
    </row>
    <row r="45" spans="2:11" x14ac:dyDescent="0.35">
      <c r="B45" s="16" t="s">
        <v>77</v>
      </c>
      <c r="C45" s="121"/>
      <c r="D45" s="67">
        <f>Budget!C39</f>
        <v>2800</v>
      </c>
      <c r="E45" s="125">
        <f>D45</f>
        <v>2800</v>
      </c>
      <c r="F45" s="29">
        <f t="shared" si="1"/>
        <v>2884</v>
      </c>
      <c r="G45" s="29">
        <f t="shared" si="1"/>
        <v>2971</v>
      </c>
      <c r="H45" s="29">
        <f t="shared" si="0"/>
        <v>3060</v>
      </c>
      <c r="I45" s="29">
        <f t="shared" si="0"/>
        <v>3152</v>
      </c>
      <c r="J45" s="1"/>
      <c r="K45" s="1"/>
    </row>
    <row r="46" spans="2:11" x14ac:dyDescent="0.35">
      <c r="B46" s="16" t="s">
        <v>78</v>
      </c>
      <c r="C46" s="120">
        <f>ROUND(0.75*F17+0.9*F18,0)</f>
        <v>662</v>
      </c>
      <c r="D46" s="67">
        <f>Budget!C40</f>
        <v>1.25</v>
      </c>
      <c r="E46" s="125">
        <f>C46*D46</f>
        <v>827.5</v>
      </c>
      <c r="F46" s="29">
        <f t="shared" si="1"/>
        <v>852</v>
      </c>
      <c r="G46" s="29">
        <f t="shared" si="1"/>
        <v>878</v>
      </c>
      <c r="H46" s="29">
        <f t="shared" si="0"/>
        <v>904</v>
      </c>
      <c r="I46" s="29">
        <f t="shared" si="0"/>
        <v>931</v>
      </c>
      <c r="J46" s="1"/>
      <c r="K46" s="1"/>
    </row>
    <row r="47" spans="2:11" x14ac:dyDescent="0.35">
      <c r="B47" s="16" t="s">
        <v>111</v>
      </c>
      <c r="C47" s="120"/>
      <c r="D47" s="67">
        <f>Budget!C41</f>
        <v>4400</v>
      </c>
      <c r="E47" s="125">
        <f>D47</f>
        <v>4400</v>
      </c>
      <c r="F47" s="119">
        <f t="shared" si="1"/>
        <v>4532</v>
      </c>
      <c r="G47" s="119">
        <f t="shared" si="1"/>
        <v>4668</v>
      </c>
      <c r="H47" s="119">
        <f t="shared" si="0"/>
        <v>4808</v>
      </c>
      <c r="I47" s="119">
        <f t="shared" si="0"/>
        <v>4952</v>
      </c>
      <c r="J47" s="1"/>
      <c r="K47" s="1"/>
    </row>
    <row r="48" spans="2:11" x14ac:dyDescent="0.35">
      <c r="B48" s="16" t="s">
        <v>66</v>
      </c>
      <c r="C48" s="120"/>
      <c r="D48" s="67">
        <f>Budget!C42</f>
        <v>250</v>
      </c>
      <c r="E48" s="125">
        <f>D48</f>
        <v>250</v>
      </c>
      <c r="F48" s="29">
        <f t="shared" si="1"/>
        <v>258</v>
      </c>
      <c r="G48" s="29">
        <f t="shared" si="1"/>
        <v>266</v>
      </c>
      <c r="H48" s="29">
        <f t="shared" si="0"/>
        <v>274</v>
      </c>
      <c r="I48" s="29">
        <f t="shared" si="0"/>
        <v>282</v>
      </c>
      <c r="J48" s="1"/>
      <c r="K48" s="1"/>
    </row>
    <row r="49" spans="2:11" x14ac:dyDescent="0.35">
      <c r="B49" s="42" t="s">
        <v>68</v>
      </c>
      <c r="C49" s="114"/>
      <c r="D49" s="114"/>
      <c r="E49" s="126"/>
      <c r="F49" s="35"/>
      <c r="G49" s="35"/>
      <c r="H49" s="35"/>
      <c r="I49" s="36"/>
      <c r="J49" s="12"/>
      <c r="K49" s="12"/>
    </row>
    <row r="50" spans="2:11" x14ac:dyDescent="0.35">
      <c r="B50" s="16" t="s">
        <v>48</v>
      </c>
      <c r="C50" s="47">
        <f>Budget!B44</f>
        <v>1</v>
      </c>
      <c r="D50" s="47">
        <f>Budget!C44</f>
        <v>750</v>
      </c>
      <c r="E50" s="127">
        <v>750</v>
      </c>
      <c r="F50" s="29">
        <f>ROUND(E50+E50*0.03,0)</f>
        <v>773</v>
      </c>
      <c r="G50" s="29">
        <f>ROUND(F50+F50*0.03,0)</f>
        <v>796</v>
      </c>
      <c r="H50" s="29">
        <f t="shared" si="0"/>
        <v>820</v>
      </c>
      <c r="I50" s="29">
        <f t="shared" si="0"/>
        <v>845</v>
      </c>
      <c r="J50" s="1"/>
      <c r="K50" s="1"/>
    </row>
    <row r="51" spans="2:11" x14ac:dyDescent="0.35">
      <c r="B51" s="16" t="s">
        <v>49</v>
      </c>
      <c r="C51" s="47">
        <f>Budget!B45</f>
        <v>1</v>
      </c>
      <c r="D51" s="47">
        <f>Budget!C45</f>
        <v>250</v>
      </c>
      <c r="E51" s="127">
        <v>250</v>
      </c>
      <c r="F51" s="29">
        <v>250</v>
      </c>
      <c r="G51" s="29">
        <v>250</v>
      </c>
      <c r="H51" s="29">
        <v>250</v>
      </c>
      <c r="I51" s="29">
        <v>250</v>
      </c>
      <c r="J51" s="1"/>
      <c r="K51" s="1"/>
    </row>
    <row r="52" spans="2:11" x14ac:dyDescent="0.35">
      <c r="B52" s="16" t="s">
        <v>20</v>
      </c>
      <c r="C52" s="47">
        <f>Budget!B46</f>
        <v>1</v>
      </c>
      <c r="D52" s="47">
        <f>Budget!C46</f>
        <v>500</v>
      </c>
      <c r="E52" s="127">
        <v>500</v>
      </c>
      <c r="F52" s="29">
        <f>ROUND(E52+E52*0.03,0)</f>
        <v>515</v>
      </c>
      <c r="G52" s="29">
        <f>ROUND(F52+F52*0.03,0)</f>
        <v>530</v>
      </c>
      <c r="H52" s="29">
        <f t="shared" si="0"/>
        <v>546</v>
      </c>
      <c r="I52" s="29">
        <f t="shared" si="0"/>
        <v>562</v>
      </c>
      <c r="J52" s="1"/>
      <c r="K52" s="1"/>
    </row>
    <row r="53" spans="2:11" x14ac:dyDescent="0.35">
      <c r="B53" s="108" t="s">
        <v>104</v>
      </c>
      <c r="C53" s="130">
        <f>Budget!B47</f>
        <v>1</v>
      </c>
      <c r="D53" s="130">
        <f>Budget!C47</f>
        <v>27</v>
      </c>
      <c r="E53" s="128">
        <v>27</v>
      </c>
      <c r="F53" s="109">
        <v>27</v>
      </c>
      <c r="G53" s="109">
        <v>27</v>
      </c>
      <c r="H53" s="109">
        <v>27</v>
      </c>
      <c r="I53" s="109">
        <v>27</v>
      </c>
      <c r="J53" s="1"/>
      <c r="K53" s="1"/>
    </row>
    <row r="54" spans="2:11" ht="16" thickBot="1" x14ac:dyDescent="0.4">
      <c r="B54" s="27" t="s">
        <v>21</v>
      </c>
      <c r="C54" s="48">
        <f>Budget!B48</f>
        <v>1</v>
      </c>
      <c r="D54" s="48">
        <f>Budget!C48</f>
        <v>100</v>
      </c>
      <c r="E54" s="129">
        <v>100</v>
      </c>
      <c r="F54" s="110">
        <v>100</v>
      </c>
      <c r="G54" s="110">
        <v>100</v>
      </c>
      <c r="H54" s="110">
        <v>100</v>
      </c>
      <c r="I54" s="110">
        <v>100</v>
      </c>
      <c r="J54" s="1"/>
      <c r="K54" s="1"/>
    </row>
    <row r="55" spans="2:11" x14ac:dyDescent="0.35">
      <c r="B55" s="3" t="s">
        <v>22</v>
      </c>
      <c r="C55" s="3"/>
      <c r="D55" s="3"/>
      <c r="E55" s="10">
        <f>SUM(E40:E54)</f>
        <v>18943.5</v>
      </c>
      <c r="F55" s="10">
        <f>SUM(F40:F54)</f>
        <v>19321</v>
      </c>
      <c r="G55" s="10">
        <f>SUM(G40:G54)</f>
        <v>19709</v>
      </c>
      <c r="H55" s="10">
        <f>SUM(H40:H54)</f>
        <v>20109</v>
      </c>
      <c r="I55" s="10">
        <f>SUM(I40:I54)</f>
        <v>20521</v>
      </c>
      <c r="J55" s="1"/>
      <c r="K55" s="1"/>
    </row>
    <row r="56" spans="2:11" x14ac:dyDescent="0.35">
      <c r="B56" s="3"/>
      <c r="C56" s="3"/>
      <c r="D56" s="3"/>
      <c r="E56" s="10"/>
      <c r="F56" s="10"/>
      <c r="G56" s="10"/>
      <c r="H56" s="10"/>
      <c r="I56" s="10"/>
      <c r="J56" s="1"/>
      <c r="K56" s="1"/>
    </row>
    <row r="57" spans="2:11" x14ac:dyDescent="0.35">
      <c r="B57" s="3"/>
      <c r="C57" s="3"/>
      <c r="D57" s="3"/>
      <c r="E57" s="10"/>
      <c r="F57" s="10"/>
      <c r="G57" s="10"/>
      <c r="H57" s="10"/>
      <c r="I57" s="10"/>
      <c r="J57" s="1"/>
      <c r="K57" s="1"/>
    </row>
    <row r="58" spans="2:11" x14ac:dyDescent="0.35">
      <c r="B58" s="1"/>
      <c r="C58" s="1"/>
      <c r="D58" s="1"/>
      <c r="E58" s="8"/>
      <c r="F58" s="8"/>
      <c r="G58" s="8"/>
      <c r="H58" s="8"/>
      <c r="I58" s="8"/>
      <c r="J58" s="1"/>
      <c r="K58" s="1"/>
    </row>
    <row r="59" spans="2:11" ht="18.5" x14ac:dyDescent="0.45">
      <c r="B59" s="236" t="s">
        <v>76</v>
      </c>
      <c r="C59" s="236"/>
      <c r="D59" s="236"/>
      <c r="E59" s="236"/>
      <c r="F59" s="236"/>
      <c r="G59" s="236"/>
      <c r="H59" s="236"/>
      <c r="I59" s="236"/>
      <c r="J59" s="1"/>
      <c r="K59" s="1"/>
    </row>
    <row r="60" spans="2:11" ht="16" thickBot="1" x14ac:dyDescent="0.4">
      <c r="B60" s="37"/>
      <c r="C60" s="34" t="s">
        <v>3</v>
      </c>
      <c r="D60" s="33" t="s">
        <v>4</v>
      </c>
      <c r="E60" s="33" t="s">
        <v>5</v>
      </c>
      <c r="F60" s="33" t="s">
        <v>6</v>
      </c>
      <c r="G60" s="33" t="s">
        <v>7</v>
      </c>
      <c r="H60" s="1"/>
      <c r="I60" s="1"/>
      <c r="J60" s="1"/>
      <c r="K60" s="1"/>
    </row>
    <row r="61" spans="2:11" x14ac:dyDescent="0.35">
      <c r="B61" s="25" t="s">
        <v>23</v>
      </c>
      <c r="C61" s="155">
        <f>Budget!$B$56</f>
        <v>0</v>
      </c>
      <c r="D61" s="39">
        <f>C68</f>
        <v>28128.500000000015</v>
      </c>
      <c r="E61" s="39">
        <f>D68</f>
        <v>57112.500000000029</v>
      </c>
      <c r="F61" s="39">
        <f>E68</f>
        <v>85689.500000000044</v>
      </c>
      <c r="G61" s="39">
        <f>F68</f>
        <v>113576.50000000006</v>
      </c>
      <c r="H61" s="1"/>
      <c r="I61" s="1"/>
      <c r="J61" s="1"/>
      <c r="K61" s="1"/>
    </row>
    <row r="62" spans="2:11" x14ac:dyDescent="0.35">
      <c r="B62" s="16" t="s">
        <v>24</v>
      </c>
      <c r="C62" s="38">
        <f>F90</f>
        <v>48900.000000000015</v>
      </c>
      <c r="D62" s="38">
        <f>F90</f>
        <v>48900.000000000015</v>
      </c>
      <c r="E62" s="38">
        <f>F90</f>
        <v>48900.000000000015</v>
      </c>
      <c r="F62" s="38">
        <f>F90</f>
        <v>48900.000000000015</v>
      </c>
      <c r="G62" s="38">
        <f>F90</f>
        <v>48900.000000000015</v>
      </c>
      <c r="H62" s="1"/>
      <c r="I62" s="1"/>
      <c r="J62" s="1"/>
      <c r="K62" s="1"/>
    </row>
    <row r="63" spans="2:11" x14ac:dyDescent="0.35">
      <c r="B63" s="16" t="s">
        <v>25</v>
      </c>
      <c r="C63" s="38"/>
      <c r="D63" s="38"/>
      <c r="E63" s="38"/>
      <c r="F63" s="38"/>
      <c r="G63" s="38"/>
      <c r="H63" s="1"/>
      <c r="I63" s="1"/>
      <c r="J63" s="1"/>
      <c r="K63" s="1"/>
    </row>
    <row r="64" spans="2:11" x14ac:dyDescent="0.35">
      <c r="B64" s="16" t="s">
        <v>64</v>
      </c>
      <c r="C64" s="38">
        <f>E55</f>
        <v>18943.5</v>
      </c>
      <c r="D64" s="38">
        <f>F55</f>
        <v>19321</v>
      </c>
      <c r="E64" s="38">
        <f>G55</f>
        <v>19709</v>
      </c>
      <c r="F64" s="38">
        <f>H55</f>
        <v>20109</v>
      </c>
      <c r="G64" s="38">
        <f>I55</f>
        <v>20521</v>
      </c>
      <c r="H64" s="1"/>
      <c r="I64" s="1"/>
      <c r="J64" s="1"/>
      <c r="K64" s="1"/>
    </row>
    <row r="65" spans="2:11" x14ac:dyDescent="0.35">
      <c r="B65" s="16" t="s">
        <v>65</v>
      </c>
      <c r="C65" s="38">
        <f>G29</f>
        <v>1828</v>
      </c>
      <c r="D65" s="38">
        <f>H29</f>
        <v>595</v>
      </c>
      <c r="E65" s="38">
        <f>I29</f>
        <v>614</v>
      </c>
      <c r="F65" s="38">
        <f>J29</f>
        <v>904</v>
      </c>
      <c r="G65" s="38">
        <f>K29</f>
        <v>651</v>
      </c>
      <c r="H65" s="1"/>
      <c r="I65" s="1"/>
      <c r="J65" s="1"/>
      <c r="K65" s="1"/>
    </row>
    <row r="66" spans="2:11" x14ac:dyDescent="0.35">
      <c r="B66" s="16" t="s">
        <v>28</v>
      </c>
      <c r="C66" s="38">
        <f>C64+C65</f>
        <v>20771.5</v>
      </c>
      <c r="D66" s="38">
        <f>D64+D65</f>
        <v>19916</v>
      </c>
      <c r="E66" s="38">
        <f>E64+E65</f>
        <v>20323</v>
      </c>
      <c r="F66" s="38">
        <f>F64+F65</f>
        <v>21013</v>
      </c>
      <c r="G66" s="38">
        <f>G64+G65</f>
        <v>21172</v>
      </c>
      <c r="H66" s="1"/>
      <c r="I66" s="1"/>
      <c r="J66" s="1"/>
      <c r="K66" s="1"/>
    </row>
    <row r="67" spans="2:11" x14ac:dyDescent="0.35">
      <c r="B67" s="16" t="s">
        <v>26</v>
      </c>
      <c r="C67" s="38">
        <f>C62-C66</f>
        <v>28128.500000000015</v>
      </c>
      <c r="D67" s="38">
        <f>D62-D66</f>
        <v>28984.000000000015</v>
      </c>
      <c r="E67" s="38">
        <f>E62-E66</f>
        <v>28577.000000000015</v>
      </c>
      <c r="F67" s="38">
        <f>F62-F66</f>
        <v>27887.000000000015</v>
      </c>
      <c r="G67" s="38">
        <f>G62-G66</f>
        <v>27728.000000000015</v>
      </c>
      <c r="H67" s="1"/>
      <c r="I67" s="1"/>
      <c r="J67" s="1"/>
      <c r="K67" s="1"/>
    </row>
    <row r="68" spans="2:11" x14ac:dyDescent="0.35">
      <c r="B68" s="16" t="s">
        <v>27</v>
      </c>
      <c r="C68" s="38">
        <f>C61+C67</f>
        <v>28128.500000000015</v>
      </c>
      <c r="D68" s="38">
        <f>D61+D67</f>
        <v>57112.500000000029</v>
      </c>
      <c r="E68" s="38">
        <f>E61+E67</f>
        <v>85689.500000000044</v>
      </c>
      <c r="F68" s="38">
        <f>F61+F67</f>
        <v>113576.50000000006</v>
      </c>
      <c r="G68" s="38">
        <f>G61+G67</f>
        <v>141304.50000000006</v>
      </c>
      <c r="H68" s="1"/>
      <c r="I68" s="1"/>
      <c r="J68" s="1"/>
      <c r="K68" s="1"/>
    </row>
    <row r="69" spans="2:11" x14ac:dyDescent="0.35">
      <c r="B69" s="7"/>
      <c r="C69" s="7"/>
      <c r="D69" s="7"/>
      <c r="E69" s="40"/>
      <c r="F69" s="40"/>
      <c r="G69" s="40"/>
      <c r="H69" s="40"/>
      <c r="I69" s="40"/>
      <c r="J69" s="1"/>
      <c r="K69" s="1"/>
    </row>
    <row r="70" spans="2:11" ht="21.5" x14ac:dyDescent="0.75">
      <c r="B70" s="107"/>
      <c r="C70" s="107"/>
      <c r="D70" s="107"/>
      <c r="E70" s="244" t="s">
        <v>118</v>
      </c>
      <c r="F70" s="244"/>
      <c r="G70" s="1"/>
      <c r="H70" s="1"/>
      <c r="I70" s="1"/>
      <c r="J70" s="1"/>
      <c r="K70" s="1"/>
    </row>
    <row r="71" spans="2:11" x14ac:dyDescent="0.35">
      <c r="B71" s="107"/>
      <c r="C71" s="107"/>
      <c r="D71" s="107"/>
      <c r="E71" s="145"/>
      <c r="F71" s="145"/>
      <c r="G71" s="1"/>
      <c r="H71" s="1"/>
      <c r="I71" s="1"/>
      <c r="J71" s="1"/>
      <c r="K71" s="1"/>
    </row>
    <row r="72" spans="2:11" ht="16" thickBot="1" x14ac:dyDescent="0.4">
      <c r="B72" s="23" t="str">
        <f>Budget!A68</f>
        <v>Capital Item</v>
      </c>
      <c r="C72" s="34" t="str">
        <f>Budget!B68</f>
        <v>Unit Cost</v>
      </c>
      <c r="D72" s="33" t="str">
        <f>Budget!C68</f>
        <v>Years of Life</v>
      </c>
      <c r="E72" s="33" t="str">
        <f>Budget!D68</f>
        <v>Year 1</v>
      </c>
      <c r="F72" s="33" t="str">
        <f>Budget!E68</f>
        <v>Year 2</v>
      </c>
      <c r="G72" s="33" t="str">
        <f>Budget!F68</f>
        <v>Year 3</v>
      </c>
      <c r="H72" s="33" t="str">
        <f>Budget!G68</f>
        <v>Year 4</v>
      </c>
      <c r="I72" s="33" t="str">
        <f>Budget!H68</f>
        <v>Year 5</v>
      </c>
      <c r="J72" s="1"/>
      <c r="K72" s="1"/>
    </row>
    <row r="73" spans="2:11" x14ac:dyDescent="0.35">
      <c r="B73" s="25" t="str">
        <f>Budget!A69</f>
        <v>Nursery Bag</v>
      </c>
      <c r="C73" s="144">
        <f>Budget!B69</f>
        <v>7</v>
      </c>
      <c r="D73" s="140">
        <f>Budget!C69</f>
        <v>4</v>
      </c>
      <c r="E73" s="26">
        <f>Budget!D69</f>
        <v>175</v>
      </c>
      <c r="F73" s="26">
        <f>Budget!E69</f>
        <v>180</v>
      </c>
      <c r="G73" s="26">
        <f>Budget!F69</f>
        <v>185</v>
      </c>
      <c r="H73" s="26">
        <f>Budget!G69</f>
        <v>191</v>
      </c>
      <c r="I73" s="26">
        <f>Budget!H69</f>
        <v>197</v>
      </c>
      <c r="J73" s="1"/>
      <c r="K73" s="1"/>
    </row>
    <row r="74" spans="2:11" x14ac:dyDescent="0.35">
      <c r="B74" s="16" t="str">
        <f>Budget!A70</f>
        <v>Growout Bag</v>
      </c>
      <c r="C74" s="144">
        <f>Budget!B70</f>
        <v>6.2</v>
      </c>
      <c r="D74" s="141">
        <f>Budget!C70</f>
        <v>10</v>
      </c>
      <c r="E74" s="26">
        <f>Budget!D70</f>
        <v>404</v>
      </c>
      <c r="F74" s="26">
        <f>Budget!E70</f>
        <v>416</v>
      </c>
      <c r="G74" s="26">
        <f>Budget!F70</f>
        <v>428</v>
      </c>
      <c r="H74" s="26">
        <f>Budget!G70</f>
        <v>441</v>
      </c>
      <c r="I74" s="26">
        <f>Budget!H70</f>
        <v>454</v>
      </c>
      <c r="J74" s="1"/>
      <c r="K74" s="1"/>
    </row>
    <row r="75" spans="2:11" x14ac:dyDescent="0.35">
      <c r="B75" s="16" t="str">
        <f>Budget!A71</f>
        <v>Wet Suit</v>
      </c>
      <c r="C75" s="144">
        <f>Budget!B71</f>
        <v>250</v>
      </c>
      <c r="D75" s="141">
        <f>Budget!C71</f>
        <v>3</v>
      </c>
      <c r="E75" s="24">
        <f>Budget!D71</f>
        <v>83.333333333333329</v>
      </c>
      <c r="F75" s="24">
        <f>Budget!E71</f>
        <v>86</v>
      </c>
      <c r="G75" s="24">
        <f>Budget!F71</f>
        <v>89</v>
      </c>
      <c r="H75" s="24">
        <f>Budget!G71</f>
        <v>92</v>
      </c>
      <c r="I75" s="24">
        <f>Budget!H71</f>
        <v>95</v>
      </c>
      <c r="J75" s="1"/>
      <c r="K75" s="1"/>
    </row>
    <row r="76" spans="2:11" x14ac:dyDescent="0.35">
      <c r="B76" s="16" t="str">
        <f>Budget!A72</f>
        <v>Boat</v>
      </c>
      <c r="C76" s="144">
        <f>Budget!B72</f>
        <v>18000</v>
      </c>
      <c r="D76" s="141">
        <f>Budget!C72</f>
        <v>7</v>
      </c>
      <c r="E76" s="24">
        <f>Budget!D72</f>
        <v>0</v>
      </c>
      <c r="F76" s="24">
        <f>Budget!E72</f>
        <v>0</v>
      </c>
      <c r="G76" s="24">
        <f>Budget!F72</f>
        <v>0</v>
      </c>
      <c r="H76" s="24">
        <f>Budget!G72</f>
        <v>0</v>
      </c>
      <c r="I76" s="24">
        <f>Budget!H72</f>
        <v>0</v>
      </c>
      <c r="J76" s="1"/>
      <c r="K76" s="1"/>
    </row>
    <row r="77" spans="2:11" x14ac:dyDescent="0.35">
      <c r="B77" s="16" t="str">
        <f>Budget!A73</f>
        <v>Truck</v>
      </c>
      <c r="C77" s="144">
        <f>Budget!B73</f>
        <v>28000</v>
      </c>
      <c r="D77" s="141">
        <f>Budget!C73</f>
        <v>10</v>
      </c>
      <c r="E77" s="24">
        <f>Budget!D73</f>
        <v>0</v>
      </c>
      <c r="F77" s="24">
        <f>Budget!E73</f>
        <v>0</v>
      </c>
      <c r="G77" s="24">
        <f>Budget!F73</f>
        <v>0</v>
      </c>
      <c r="H77" s="24">
        <f>Budget!G73</f>
        <v>0</v>
      </c>
      <c r="I77" s="24">
        <f>Budget!H73</f>
        <v>0</v>
      </c>
      <c r="J77" s="1"/>
      <c r="K77" s="1"/>
    </row>
    <row r="78" spans="2:11" x14ac:dyDescent="0.35">
      <c r="B78" s="16" t="str">
        <f>Budget!A74</f>
        <v>Motor</v>
      </c>
      <c r="C78" s="144">
        <f>Budget!B74</f>
        <v>10000</v>
      </c>
      <c r="D78" s="141">
        <f>Budget!C74</f>
        <v>3</v>
      </c>
      <c r="E78" s="24">
        <f>Budget!D74</f>
        <v>0</v>
      </c>
      <c r="F78" s="24">
        <f>Budget!E74</f>
        <v>0</v>
      </c>
      <c r="G78" s="24">
        <f>Budget!F74</f>
        <v>0</v>
      </c>
      <c r="H78" s="24">
        <f>Budget!G74</f>
        <v>0</v>
      </c>
      <c r="I78" s="24">
        <f>Budget!H74</f>
        <v>0</v>
      </c>
      <c r="J78" s="1"/>
      <c r="K78" s="1"/>
    </row>
    <row r="79" spans="2:11" ht="44" thickBot="1" x14ac:dyDescent="0.4">
      <c r="B79" s="98" t="str">
        <f>Budget!A75</f>
        <v>Winch/Davit/Boom/Pulley/Batteries</v>
      </c>
      <c r="C79" s="129">
        <f>Budget!B75</f>
        <v>1000</v>
      </c>
      <c r="D79" s="142">
        <f>Budget!C75</f>
        <v>5</v>
      </c>
      <c r="E79" s="28">
        <f>Budget!D75</f>
        <v>200</v>
      </c>
      <c r="F79" s="28">
        <f>Budget!E75</f>
        <v>206</v>
      </c>
      <c r="G79" s="28">
        <f>Budget!F75</f>
        <v>212</v>
      </c>
      <c r="H79" s="28">
        <f>Budget!G75</f>
        <v>218</v>
      </c>
      <c r="I79" s="28">
        <f>Budget!H75</f>
        <v>225</v>
      </c>
      <c r="J79" s="1"/>
      <c r="K79" s="1"/>
    </row>
    <row r="80" spans="2:11" x14ac:dyDescent="0.35">
      <c r="B80" s="5" t="str">
        <f>Budget!A76</f>
        <v xml:space="preserve">Total Investment </v>
      </c>
      <c r="C80" s="6">
        <f>Budget!B76</f>
        <v>0</v>
      </c>
      <c r="D80" s="7">
        <f>Budget!C76</f>
        <v>0</v>
      </c>
      <c r="E80" s="15">
        <f>Budget!D76</f>
        <v>862.33333333333337</v>
      </c>
      <c r="F80" s="15">
        <f>Budget!E76</f>
        <v>888</v>
      </c>
      <c r="G80" s="15">
        <f>Budget!F76</f>
        <v>914</v>
      </c>
      <c r="H80" s="15">
        <f>Budget!G76</f>
        <v>942</v>
      </c>
      <c r="I80" s="15">
        <f>Budget!H76</f>
        <v>971</v>
      </c>
      <c r="J80" s="1"/>
      <c r="K80" s="1"/>
    </row>
    <row r="81" spans="2:11" x14ac:dyDescent="0.35">
      <c r="B81" s="7"/>
      <c r="C81" s="7"/>
      <c r="D81" s="7"/>
      <c r="E81" s="40"/>
      <c r="F81" s="40"/>
      <c r="G81" s="40"/>
      <c r="H81" s="40"/>
      <c r="I81" s="40"/>
      <c r="J81" s="1"/>
      <c r="K81" s="1"/>
    </row>
    <row r="82" spans="2:11" x14ac:dyDescent="0.35">
      <c r="B82" s="1"/>
      <c r="C82" s="1"/>
      <c r="D82" s="1"/>
      <c r="E82" s="4"/>
      <c r="F82" s="1"/>
      <c r="G82" s="1"/>
      <c r="H82" s="1"/>
      <c r="I82" s="1"/>
      <c r="J82" s="1"/>
      <c r="K82" s="1"/>
    </row>
    <row r="83" spans="2:11" ht="18.5" x14ac:dyDescent="0.45">
      <c r="B83" s="236" t="s">
        <v>75</v>
      </c>
      <c r="C83" s="236"/>
      <c r="D83" s="236"/>
      <c r="E83" s="236"/>
      <c r="F83" s="236"/>
      <c r="G83" s="236"/>
      <c r="H83" s="143"/>
      <c r="I83" s="143"/>
      <c r="J83" s="1"/>
      <c r="K83" s="1"/>
    </row>
    <row r="84" spans="2:11" ht="16" thickBot="1" x14ac:dyDescent="0.4">
      <c r="B84" s="33" t="s">
        <v>29</v>
      </c>
      <c r="C84" s="33"/>
      <c r="D84" s="34" t="s">
        <v>30</v>
      </c>
      <c r="E84" s="33" t="s">
        <v>31</v>
      </c>
      <c r="F84" s="33" t="s">
        <v>32</v>
      </c>
      <c r="G84" s="1"/>
      <c r="H84" s="1"/>
      <c r="I84" s="1"/>
      <c r="J84" s="1"/>
      <c r="K84" s="1"/>
    </row>
    <row r="85" spans="2:11" x14ac:dyDescent="0.35">
      <c r="B85" s="31" t="s">
        <v>33</v>
      </c>
      <c r="C85" s="31"/>
      <c r="D85" s="6"/>
      <c r="E85" s="7"/>
      <c r="F85" s="7"/>
      <c r="G85" s="1"/>
      <c r="H85" s="1"/>
      <c r="I85" s="1"/>
      <c r="J85" s="1"/>
      <c r="K85" s="1"/>
    </row>
    <row r="86" spans="2:11" x14ac:dyDescent="0.35">
      <c r="B86" s="7" t="s">
        <v>34</v>
      </c>
      <c r="C86" s="7"/>
      <c r="D86" s="50">
        <f>F13*D90</f>
        <v>420000.00000000006</v>
      </c>
      <c r="E86" s="51">
        <f>I7</f>
        <v>0.09</v>
      </c>
      <c r="F86" s="11">
        <f>E86*D86</f>
        <v>37800.000000000007</v>
      </c>
      <c r="G86" s="1"/>
      <c r="H86" s="1"/>
      <c r="I86" s="1"/>
      <c r="J86" s="1"/>
      <c r="K86" s="1"/>
    </row>
    <row r="87" spans="2:11" x14ac:dyDescent="0.35">
      <c r="B87" s="7" t="s">
        <v>35</v>
      </c>
      <c r="C87" s="7"/>
      <c r="D87" s="50">
        <f>F14*D90</f>
        <v>120000.00000000003</v>
      </c>
      <c r="E87" s="51">
        <f>I8</f>
        <v>7.0000000000000007E-2</v>
      </c>
      <c r="F87" s="11">
        <f>E87*D87</f>
        <v>8400.0000000000036</v>
      </c>
      <c r="G87" s="1"/>
      <c r="H87" s="1"/>
      <c r="I87" s="1"/>
      <c r="J87" s="1"/>
      <c r="K87" s="1"/>
    </row>
    <row r="88" spans="2:11" x14ac:dyDescent="0.35">
      <c r="B88" s="7" t="s">
        <v>36</v>
      </c>
      <c r="C88" s="7"/>
      <c r="D88" s="50">
        <f>F15*D90</f>
        <v>60000.000000000015</v>
      </c>
      <c r="E88" s="52">
        <f>I9</f>
        <v>4.4999999999999998E-2</v>
      </c>
      <c r="F88" s="13">
        <f>E88*D88</f>
        <v>2700.0000000000005</v>
      </c>
      <c r="G88" s="1"/>
      <c r="H88" s="1"/>
      <c r="I88" s="1"/>
      <c r="J88" s="1"/>
      <c r="K88" s="1"/>
    </row>
    <row r="89" spans="2:11" x14ac:dyDescent="0.35">
      <c r="B89" s="261"/>
      <c r="C89" s="261"/>
      <c r="D89" s="261"/>
      <c r="E89" s="261"/>
      <c r="F89" s="261"/>
      <c r="G89" s="261"/>
      <c r="H89" s="1"/>
      <c r="I89" s="1"/>
      <c r="J89" s="1"/>
      <c r="K89" s="1"/>
    </row>
    <row r="90" spans="2:11" x14ac:dyDescent="0.35">
      <c r="B90" s="5" t="s">
        <v>79</v>
      </c>
      <c r="C90" s="5"/>
      <c r="D90" s="50">
        <f>D93*F11</f>
        <v>600000.00000000012</v>
      </c>
      <c r="E90" s="51"/>
      <c r="F90" s="53">
        <f>SUM(F86:F88)</f>
        <v>48900.000000000015</v>
      </c>
      <c r="G90" s="1"/>
      <c r="H90" s="1"/>
      <c r="I90" s="1"/>
      <c r="J90" s="1"/>
      <c r="K90" s="1"/>
    </row>
    <row r="91" spans="2:11" x14ac:dyDescent="0.35">
      <c r="B91" s="261"/>
      <c r="C91" s="261"/>
      <c r="D91" s="261"/>
      <c r="E91" s="261"/>
      <c r="F91" s="261"/>
      <c r="G91" s="261"/>
      <c r="H91" s="1"/>
      <c r="I91" s="1"/>
      <c r="J91" s="1"/>
      <c r="K91" s="1"/>
    </row>
    <row r="92" spans="2:11" x14ac:dyDescent="0.35">
      <c r="B92" s="31" t="s">
        <v>14</v>
      </c>
      <c r="C92" s="31"/>
      <c r="D92" s="31"/>
      <c r="E92" s="50"/>
      <c r="F92" s="51"/>
      <c r="G92" s="11"/>
      <c r="H92" s="1"/>
      <c r="I92" s="1"/>
      <c r="J92" s="1"/>
      <c r="K92" s="1"/>
    </row>
    <row r="93" spans="2:11" x14ac:dyDescent="0.35">
      <c r="B93" s="7" t="s">
        <v>82</v>
      </c>
      <c r="C93" s="7"/>
      <c r="D93" s="50">
        <f>F5</f>
        <v>1000000</v>
      </c>
      <c r="E93" s="52">
        <f>I5</f>
        <v>6.0000000000000001E-3</v>
      </c>
      <c r="F93" s="11">
        <f>E93*D93</f>
        <v>6000</v>
      </c>
      <c r="G93" s="1"/>
      <c r="H93" s="1"/>
      <c r="I93" s="1"/>
      <c r="J93" s="1"/>
      <c r="K93" s="1"/>
    </row>
    <row r="94" spans="2:11" x14ac:dyDescent="0.35">
      <c r="B94" s="7" t="s">
        <v>83</v>
      </c>
      <c r="C94" s="7"/>
      <c r="D94" s="50">
        <f>F18+F17</f>
        <v>752</v>
      </c>
      <c r="E94" s="11">
        <f>D41</f>
        <v>2</v>
      </c>
      <c r="F94" s="11">
        <f>E94*D94</f>
        <v>1504</v>
      </c>
      <c r="G94" s="1"/>
      <c r="H94" s="1"/>
      <c r="I94" s="1"/>
      <c r="J94" s="1"/>
      <c r="K94" s="1"/>
    </row>
    <row r="95" spans="2:11" x14ac:dyDescent="0.35">
      <c r="B95" s="7" t="s">
        <v>84</v>
      </c>
      <c r="C95" s="7"/>
      <c r="D95" s="50">
        <f>C42</f>
        <v>205</v>
      </c>
      <c r="E95" s="51">
        <f>D42</f>
        <v>3.5</v>
      </c>
      <c r="F95" s="11">
        <f>ROUND(E95*D95,0)</f>
        <v>718</v>
      </c>
      <c r="G95" s="1"/>
      <c r="H95" s="1"/>
      <c r="I95" s="1"/>
      <c r="J95" s="1"/>
      <c r="K95" s="1"/>
    </row>
    <row r="96" spans="2:11" x14ac:dyDescent="0.35">
      <c r="B96" s="7" t="s">
        <v>85</v>
      </c>
      <c r="C96" s="7"/>
      <c r="D96" s="50">
        <f>C43</f>
        <v>205</v>
      </c>
      <c r="E96" s="51">
        <f>D43</f>
        <v>3.5</v>
      </c>
      <c r="F96" s="11">
        <f>ROUND(E96*D96,0)</f>
        <v>718</v>
      </c>
      <c r="G96" s="1"/>
      <c r="H96" s="1"/>
      <c r="I96" s="1"/>
      <c r="J96" s="1"/>
      <c r="K96" s="1"/>
    </row>
    <row r="97" spans="2:11" x14ac:dyDescent="0.35">
      <c r="B97" s="7" t="s">
        <v>109</v>
      </c>
      <c r="C97" s="7"/>
      <c r="D97" s="50"/>
      <c r="E97" s="4"/>
      <c r="F97" s="11">
        <f>D45</f>
        <v>2800</v>
      </c>
      <c r="G97" s="1"/>
      <c r="H97" s="1"/>
      <c r="I97" s="1"/>
      <c r="J97" s="1"/>
      <c r="K97" s="1"/>
    </row>
    <row r="98" spans="2:11" x14ac:dyDescent="0.35">
      <c r="B98" s="7" t="s">
        <v>86</v>
      </c>
      <c r="C98" s="7"/>
      <c r="D98" s="50">
        <f>C46</f>
        <v>662</v>
      </c>
      <c r="E98" s="51">
        <f>D46</f>
        <v>1.25</v>
      </c>
      <c r="F98" s="11">
        <f>ROUND(E98*D98,0)</f>
        <v>828</v>
      </c>
      <c r="G98" s="1"/>
      <c r="H98" s="1"/>
      <c r="I98" s="1"/>
      <c r="J98" s="1"/>
      <c r="K98" s="1"/>
    </row>
    <row r="99" spans="2:11" x14ac:dyDescent="0.35">
      <c r="B99" s="7" t="s">
        <v>87</v>
      </c>
      <c r="C99" s="7"/>
      <c r="D99" s="50">
        <f>C44</f>
        <v>1</v>
      </c>
      <c r="E99" s="11">
        <f>D44</f>
        <v>100</v>
      </c>
      <c r="F99" s="11">
        <f>D99*E99</f>
        <v>100</v>
      </c>
      <c r="G99" s="1"/>
      <c r="H99" s="1"/>
      <c r="I99" s="1"/>
      <c r="J99" s="1"/>
      <c r="K99" s="1"/>
    </row>
    <row r="100" spans="2:11" x14ac:dyDescent="0.35">
      <c r="B100" s="7" t="s">
        <v>105</v>
      </c>
      <c r="C100" s="7"/>
      <c r="D100" s="50"/>
      <c r="E100" s="11"/>
      <c r="F100" s="11">
        <f>D47</f>
        <v>4400</v>
      </c>
      <c r="G100" s="1"/>
      <c r="H100" s="1"/>
      <c r="I100" s="1"/>
      <c r="J100" s="1"/>
      <c r="K100" s="1"/>
    </row>
    <row r="101" spans="2:11" x14ac:dyDescent="0.35">
      <c r="B101" s="7" t="s">
        <v>80</v>
      </c>
      <c r="C101" s="7"/>
      <c r="D101" s="50"/>
      <c r="E101" s="51"/>
      <c r="F101" s="13">
        <f>D48</f>
        <v>250</v>
      </c>
      <c r="G101" s="1"/>
      <c r="H101" s="1"/>
      <c r="I101" s="1"/>
      <c r="J101" s="1"/>
      <c r="K101" s="1"/>
    </row>
    <row r="102" spans="2:11" x14ac:dyDescent="0.35">
      <c r="B102" s="5" t="s">
        <v>37</v>
      </c>
      <c r="C102" s="5"/>
      <c r="D102" s="5"/>
      <c r="E102" s="50"/>
      <c r="F102" s="11">
        <f>SUM(F93:F101)</f>
        <v>17318</v>
      </c>
      <c r="G102" s="53"/>
      <c r="H102" s="1"/>
      <c r="I102" s="1"/>
      <c r="J102" s="1"/>
      <c r="K102" s="1"/>
    </row>
    <row r="103" spans="2:11" x14ac:dyDescent="0.35">
      <c r="B103" s="261"/>
      <c r="C103" s="261"/>
      <c r="D103" s="261"/>
      <c r="E103" s="261"/>
      <c r="F103" s="261"/>
      <c r="G103" s="261"/>
      <c r="H103" s="1"/>
      <c r="I103" s="1"/>
      <c r="J103" s="1"/>
      <c r="K103" s="1"/>
    </row>
    <row r="104" spans="2:11" x14ac:dyDescent="0.35">
      <c r="B104" s="31" t="s">
        <v>38</v>
      </c>
      <c r="C104" s="31"/>
      <c r="D104" s="31"/>
      <c r="E104" s="50"/>
      <c r="F104" s="51"/>
      <c r="G104" s="11"/>
      <c r="H104" s="1"/>
      <c r="I104" s="1"/>
      <c r="J104" s="1"/>
      <c r="K104" s="1"/>
    </row>
    <row r="105" spans="2:11" x14ac:dyDescent="0.35">
      <c r="B105" s="123" t="s">
        <v>19</v>
      </c>
      <c r="C105" s="7"/>
      <c r="D105" s="7"/>
      <c r="E105" s="6"/>
      <c r="F105" s="7"/>
      <c r="G105" s="7"/>
      <c r="H105" s="1"/>
      <c r="I105" s="1"/>
      <c r="J105" s="1"/>
      <c r="K105" s="1"/>
    </row>
    <row r="106" spans="2:11" x14ac:dyDescent="0.35">
      <c r="B106" s="7" t="s">
        <v>114</v>
      </c>
      <c r="C106" s="7"/>
      <c r="D106" s="50">
        <f t="shared" ref="D106:E110" si="2">C50</f>
        <v>1</v>
      </c>
      <c r="E106" s="11">
        <f t="shared" si="2"/>
        <v>750</v>
      </c>
      <c r="F106" s="11">
        <f>E106*D106</f>
        <v>750</v>
      </c>
      <c r="G106" s="1"/>
      <c r="H106" s="1"/>
      <c r="I106" s="1"/>
      <c r="J106" s="1"/>
      <c r="K106" s="1"/>
    </row>
    <row r="107" spans="2:11" x14ac:dyDescent="0.35">
      <c r="B107" s="7" t="s">
        <v>115</v>
      </c>
      <c r="C107" s="7"/>
      <c r="D107" s="50">
        <f t="shared" si="2"/>
        <v>1</v>
      </c>
      <c r="E107" s="11">
        <f t="shared" si="2"/>
        <v>250</v>
      </c>
      <c r="F107" s="11">
        <f>D107*E107</f>
        <v>250</v>
      </c>
      <c r="G107" s="1"/>
      <c r="H107" s="1"/>
      <c r="I107" s="1"/>
      <c r="J107" s="1"/>
      <c r="K107" s="1"/>
    </row>
    <row r="108" spans="2:11" x14ac:dyDescent="0.35">
      <c r="B108" s="7" t="s">
        <v>81</v>
      </c>
      <c r="C108" s="7"/>
      <c r="D108" s="50">
        <f t="shared" si="2"/>
        <v>1</v>
      </c>
      <c r="E108" s="11">
        <f t="shared" si="2"/>
        <v>500</v>
      </c>
      <c r="F108" s="11">
        <f>E108*D108</f>
        <v>500</v>
      </c>
      <c r="G108" s="1"/>
      <c r="H108" s="1"/>
      <c r="I108" s="1"/>
      <c r="J108" s="1"/>
      <c r="K108" s="1"/>
    </row>
    <row r="109" spans="2:11" x14ac:dyDescent="0.35">
      <c r="B109" s="7" t="s">
        <v>112</v>
      </c>
      <c r="C109" s="7"/>
      <c r="D109" s="50">
        <f t="shared" si="2"/>
        <v>1</v>
      </c>
      <c r="E109" s="11">
        <f t="shared" si="2"/>
        <v>27</v>
      </c>
      <c r="F109" s="11">
        <f>D109*E109</f>
        <v>27</v>
      </c>
      <c r="G109" s="1"/>
      <c r="H109" s="1"/>
      <c r="I109" s="1"/>
      <c r="J109" s="1"/>
      <c r="K109" s="1"/>
    </row>
    <row r="110" spans="2:11" x14ac:dyDescent="0.35">
      <c r="B110" s="7" t="s">
        <v>113</v>
      </c>
      <c r="C110" s="7"/>
      <c r="D110" s="50">
        <f t="shared" si="2"/>
        <v>1</v>
      </c>
      <c r="E110" s="11">
        <f t="shared" si="2"/>
        <v>100</v>
      </c>
      <c r="F110" s="11">
        <f>E110*D110</f>
        <v>100</v>
      </c>
      <c r="G110" s="1"/>
      <c r="H110" s="1"/>
      <c r="I110" s="1"/>
      <c r="J110" s="1"/>
      <c r="K110" s="1"/>
    </row>
    <row r="111" spans="2:11" x14ac:dyDescent="0.35">
      <c r="B111" s="261"/>
      <c r="C111" s="261"/>
      <c r="D111" s="261"/>
      <c r="E111" s="261"/>
      <c r="F111" s="261"/>
      <c r="G111" s="261"/>
      <c r="H111" s="1"/>
      <c r="I111" s="1"/>
      <c r="J111" s="1"/>
      <c r="K111" s="1"/>
    </row>
    <row r="112" spans="2:11" x14ac:dyDescent="0.35">
      <c r="B112" s="7" t="s">
        <v>39</v>
      </c>
      <c r="C112" s="7"/>
      <c r="D112" s="7"/>
      <c r="E112" s="6"/>
      <c r="F112" s="11">
        <f>ROUND(AVERAGE(G29:K29),0)</f>
        <v>918</v>
      </c>
      <c r="G112" s="1"/>
      <c r="H112" s="1"/>
      <c r="I112" s="1"/>
      <c r="J112" s="1"/>
      <c r="K112" s="1"/>
    </row>
    <row r="113" spans="2:11" x14ac:dyDescent="0.35">
      <c r="B113" s="7" t="s">
        <v>40</v>
      </c>
      <c r="C113" s="7"/>
      <c r="D113" s="7"/>
      <c r="E113" s="6"/>
      <c r="F113" s="13">
        <f>AVERAGE(E80:I80)</f>
        <v>915.46666666666681</v>
      </c>
      <c r="G113" s="1"/>
      <c r="H113" s="1"/>
      <c r="I113" s="1"/>
      <c r="J113" s="1"/>
      <c r="K113" s="1"/>
    </row>
    <row r="114" spans="2:11" x14ac:dyDescent="0.35">
      <c r="B114" s="5" t="s">
        <v>41</v>
      </c>
      <c r="C114" s="5"/>
      <c r="D114" s="5"/>
      <c r="E114" s="6"/>
      <c r="F114" s="53">
        <f>SUM(F106:F113)</f>
        <v>3460.4666666666667</v>
      </c>
      <c r="G114" s="1"/>
      <c r="H114" s="1"/>
      <c r="I114" s="1"/>
      <c r="J114" s="1"/>
      <c r="K114" s="1"/>
    </row>
    <row r="115" spans="2:11" x14ac:dyDescent="0.35">
      <c r="B115" s="5"/>
      <c r="C115" s="5"/>
      <c r="D115" s="5"/>
      <c r="E115" s="6"/>
      <c r="F115" s="53"/>
      <c r="G115" s="1"/>
      <c r="H115" s="1"/>
      <c r="I115" s="1"/>
      <c r="J115" s="1"/>
      <c r="K115" s="1"/>
    </row>
    <row r="116" spans="2:11" x14ac:dyDescent="0.35">
      <c r="B116" s="31" t="s">
        <v>90</v>
      </c>
      <c r="C116" s="31"/>
      <c r="D116" s="31"/>
      <c r="E116" s="6"/>
      <c r="F116" s="53">
        <f>F114+F102</f>
        <v>20778.466666666667</v>
      </c>
      <c r="G116" s="1"/>
      <c r="H116" s="1"/>
      <c r="I116" s="1"/>
      <c r="J116" s="1"/>
      <c r="K116" s="1"/>
    </row>
    <row r="117" spans="2:11" x14ac:dyDescent="0.35">
      <c r="B117" s="31"/>
      <c r="C117" s="31"/>
      <c r="D117" s="31"/>
      <c r="E117" s="6"/>
      <c r="F117" s="11"/>
      <c r="G117" s="1"/>
      <c r="H117" s="1"/>
      <c r="I117" s="1"/>
      <c r="J117" s="1"/>
      <c r="K117" s="1"/>
    </row>
    <row r="118" spans="2:11" x14ac:dyDescent="0.35">
      <c r="B118" s="31" t="s">
        <v>122</v>
      </c>
      <c r="C118" s="31"/>
      <c r="D118" s="31"/>
      <c r="E118" s="6"/>
      <c r="F118" s="11"/>
      <c r="G118" s="1"/>
      <c r="H118" s="1"/>
      <c r="I118" s="1"/>
      <c r="J118" s="1"/>
      <c r="K118" s="1"/>
    </row>
    <row r="119" spans="2:11" x14ac:dyDescent="0.35">
      <c r="B119" s="123" t="s">
        <v>123</v>
      </c>
      <c r="C119" s="31"/>
      <c r="D119" s="31"/>
      <c r="E119" s="6"/>
      <c r="F119" s="11"/>
      <c r="G119" s="1"/>
      <c r="H119" s="1"/>
      <c r="I119" s="1"/>
      <c r="J119" s="1"/>
      <c r="K119" s="1"/>
    </row>
    <row r="120" spans="2:11" x14ac:dyDescent="0.35">
      <c r="B120" s="5" t="s">
        <v>119</v>
      </c>
      <c r="C120" s="31"/>
      <c r="D120" s="31"/>
      <c r="E120" s="6"/>
      <c r="F120" s="11">
        <f>F90-(F116-F113)</f>
        <v>29037.000000000015</v>
      </c>
      <c r="G120" s="1"/>
      <c r="H120" s="1"/>
      <c r="I120" s="1"/>
      <c r="J120" s="1"/>
      <c r="K120" s="1"/>
    </row>
    <row r="121" spans="2:11" x14ac:dyDescent="0.35">
      <c r="B121" s="5" t="s">
        <v>120</v>
      </c>
      <c r="C121" s="31"/>
      <c r="D121" s="31"/>
      <c r="E121" s="6"/>
      <c r="F121" s="157">
        <f>(F116-F113)/D90</f>
        <v>3.3104999999999996E-2</v>
      </c>
      <c r="G121" s="1"/>
      <c r="H121" s="1"/>
      <c r="I121" s="1"/>
      <c r="J121" s="1"/>
      <c r="K121" s="1"/>
    </row>
    <row r="122" spans="2:11" x14ac:dyDescent="0.35">
      <c r="B122" s="5" t="s">
        <v>121</v>
      </c>
      <c r="C122" s="31"/>
      <c r="D122" s="31"/>
      <c r="E122" s="6"/>
      <c r="F122" s="55">
        <f>((F116-F113)/(E86*(D86/D90)+E87*(D87/D90)+E88*(D88/D90)))/D93</f>
        <v>0.24371779141104294</v>
      </c>
      <c r="G122" s="1"/>
      <c r="H122" s="1"/>
      <c r="I122" s="1"/>
      <c r="J122" s="1"/>
      <c r="K122" s="1"/>
    </row>
    <row r="123" spans="2:11" x14ac:dyDescent="0.35">
      <c r="B123" s="5"/>
      <c r="C123" s="31"/>
      <c r="D123" s="31"/>
      <c r="E123" s="6"/>
      <c r="F123" s="55"/>
      <c r="G123" s="1"/>
      <c r="H123" s="1"/>
      <c r="I123" s="1"/>
      <c r="J123" s="1"/>
      <c r="K123" s="1"/>
    </row>
    <row r="124" spans="2:11" x14ac:dyDescent="0.35">
      <c r="B124" s="158" t="s">
        <v>90</v>
      </c>
      <c r="C124" s="156"/>
      <c r="D124" s="156"/>
      <c r="E124" s="156"/>
      <c r="F124" s="156"/>
      <c r="G124" s="156"/>
      <c r="H124" s="1"/>
      <c r="I124" s="1"/>
      <c r="J124" s="1"/>
      <c r="K124" s="1"/>
    </row>
    <row r="125" spans="2:11" x14ac:dyDescent="0.35">
      <c r="B125" s="5" t="s">
        <v>42</v>
      </c>
      <c r="C125" s="5"/>
      <c r="D125" s="5"/>
      <c r="E125" s="6"/>
      <c r="F125" s="11">
        <f>F90-F116</f>
        <v>28121.533333333347</v>
      </c>
      <c r="G125" s="1"/>
      <c r="H125" s="1"/>
      <c r="I125" s="1"/>
      <c r="J125" s="1"/>
      <c r="K125" s="1"/>
    </row>
    <row r="126" spans="2:11" x14ac:dyDescent="0.35">
      <c r="B126" s="5" t="s">
        <v>43</v>
      </c>
      <c r="C126" s="5"/>
      <c r="D126" s="5"/>
      <c r="E126" s="6"/>
      <c r="F126" s="54">
        <f>F116/D90</f>
        <v>3.4630777777777774E-2</v>
      </c>
      <c r="G126" s="1"/>
      <c r="H126" s="1"/>
      <c r="I126" s="1"/>
      <c r="J126" s="1"/>
      <c r="K126" s="1"/>
    </row>
    <row r="127" spans="2:11" x14ac:dyDescent="0.35">
      <c r="B127" s="5" t="s">
        <v>44</v>
      </c>
      <c r="C127" s="5"/>
      <c r="D127" s="5"/>
      <c r="E127" s="6"/>
      <c r="F127" s="55">
        <f>(F116/(E86*(D86/D90)+E87*(D87/D90)+E88*(D88/D90)))/D93</f>
        <v>0.25495051124744378</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 allowBlank="1" showInputMessage="1" showErrorMessage="1" sqref="I7:I9 I5 F6:F7 F9:F11 F13:F14">
      <formula1>0</formula1>
    </dataValidation>
    <dataValidation type="whole" operator="greaterThan" allowBlank="1" showInputMessage="1" showErrorMessage="1" sqref="C22:C28 D24:D28 E24 F53:I54 E50:E54 F5 E40:E41 F47:I47 E43:E48 D75:D79 C73:C79">
      <formula1>0</formula1>
    </dataValidation>
    <dataValidation type="whole" allowBlank="1" showInputMessage="1" showErrorMessage="1" sqref="E25:E28">
      <formula1>0</formula1>
      <formula2>1</formula2>
    </dataValidation>
    <dataValidation type="decimal" operator="greaterThanOrEqual" allowBlank="1" showInputMessage="1" showErrorMessage="1" sqref="F15">
      <formula1>0</formula1>
    </dataValidation>
  </dataValidations>
  <pageMargins left="0.75" right="0.75" top="1" bottom="1" header="0.5" footer="0.5"/>
  <pageSetup orientation="portrait" horizontalDpi="4294967292" verticalDpi="4294967292"/>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27"/>
  <sheetViews>
    <sheetView topLeftCell="A54" workbookViewId="0">
      <selection activeCell="B72" sqref="B72:I80"/>
    </sheetView>
  </sheetViews>
  <sheetFormatPr defaultColWidth="11" defaultRowHeight="15.5" x14ac:dyDescent="0.35"/>
  <sheetData>
    <row r="3" spans="2:11" ht="16" thickBot="1" x14ac:dyDescent="0.4">
      <c r="B3" s="1"/>
      <c r="C3" s="1"/>
      <c r="D3" s="1"/>
      <c r="E3" s="66"/>
      <c r="F3" s="37"/>
      <c r="G3" s="7"/>
      <c r="H3" s="1"/>
      <c r="I3" s="1"/>
      <c r="J3" s="1"/>
      <c r="K3" s="1"/>
    </row>
    <row r="4" spans="2:11" x14ac:dyDescent="0.35">
      <c r="B4" s="1"/>
      <c r="C4" s="1"/>
      <c r="D4" s="18" t="s">
        <v>51</v>
      </c>
      <c r="E4" s="117"/>
      <c r="F4" s="19" t="s">
        <v>50</v>
      </c>
      <c r="G4" s="1"/>
      <c r="H4" s="18" t="s">
        <v>53</v>
      </c>
      <c r="I4" s="19" t="s">
        <v>54</v>
      </c>
      <c r="J4" s="1"/>
      <c r="K4" s="1"/>
    </row>
    <row r="5" spans="2:11" x14ac:dyDescent="0.35">
      <c r="B5" s="1"/>
      <c r="C5" s="1"/>
      <c r="D5" s="239" t="s">
        <v>73</v>
      </c>
      <c r="E5" s="240"/>
      <c r="F5" s="56">
        <f>Budget!E5</f>
        <v>1000000</v>
      </c>
      <c r="G5" s="1"/>
      <c r="H5" s="22" t="s">
        <v>46</v>
      </c>
      <c r="I5" s="62">
        <f>Budget!H5</f>
        <v>6.0000000000000001E-3</v>
      </c>
      <c r="J5" s="1"/>
      <c r="K5" s="1"/>
    </row>
    <row r="6" spans="2:11" x14ac:dyDescent="0.35">
      <c r="B6" s="1"/>
      <c r="C6" s="1"/>
      <c r="D6" s="247" t="s">
        <v>60</v>
      </c>
      <c r="E6" s="248"/>
      <c r="F6" s="57">
        <f>Budget!E6</f>
        <v>10000</v>
      </c>
      <c r="G6" s="1"/>
      <c r="H6" s="43" t="s">
        <v>47</v>
      </c>
      <c r="I6" s="21">
        <f>Budget!H6</f>
        <v>0</v>
      </c>
      <c r="J6" s="1"/>
      <c r="K6" s="1"/>
    </row>
    <row r="7" spans="2:11" x14ac:dyDescent="0.35">
      <c r="B7" s="1"/>
      <c r="C7" s="1"/>
      <c r="D7" s="239" t="s">
        <v>55</v>
      </c>
      <c r="E7" s="240"/>
      <c r="F7" s="82">
        <f>Budget!E7</f>
        <v>1150</v>
      </c>
      <c r="G7" s="1"/>
      <c r="H7" s="20" t="s">
        <v>67</v>
      </c>
      <c r="I7" s="45">
        <f>'Cash Cost Sensitivities (2)'!A12</f>
        <v>0.08</v>
      </c>
      <c r="J7" s="1"/>
      <c r="K7" s="1"/>
    </row>
    <row r="8" spans="2:11" x14ac:dyDescent="0.35">
      <c r="B8" s="1"/>
      <c r="C8" s="1"/>
      <c r="D8" s="239" t="s">
        <v>56</v>
      </c>
      <c r="E8" s="240"/>
      <c r="F8" s="59"/>
      <c r="G8" s="1"/>
      <c r="H8" s="20" t="s">
        <v>62</v>
      </c>
      <c r="I8" s="45">
        <f>'Cash Cost Sensitivities (2)'!B12</f>
        <v>0.06</v>
      </c>
      <c r="J8" s="1"/>
      <c r="K8" s="1"/>
    </row>
    <row r="9" spans="2:11" ht="16" thickBot="1" x14ac:dyDescent="0.4">
      <c r="B9" s="1"/>
      <c r="C9" s="1"/>
      <c r="D9" s="237" t="s">
        <v>57</v>
      </c>
      <c r="E9" s="238"/>
      <c r="F9" s="60">
        <f>Budget!E9</f>
        <v>0.75</v>
      </c>
      <c r="G9" s="1"/>
      <c r="H9" s="44" t="s">
        <v>63</v>
      </c>
      <c r="I9" s="46">
        <f>'Cash Cost Sensitivities (2)'!C12</f>
        <v>0.04</v>
      </c>
      <c r="J9" s="1"/>
      <c r="K9" s="1"/>
    </row>
    <row r="10" spans="2:11" x14ac:dyDescent="0.35">
      <c r="B10" s="1"/>
      <c r="C10" s="1"/>
      <c r="D10" s="237" t="s">
        <v>58</v>
      </c>
      <c r="E10" s="238"/>
      <c r="F10" s="60">
        <f>Budget!E10</f>
        <v>0.8</v>
      </c>
      <c r="G10" s="1"/>
      <c r="H10" s="17"/>
      <c r="I10" s="1"/>
      <c r="J10" s="1"/>
      <c r="K10" s="1"/>
    </row>
    <row r="11" spans="2:11" x14ac:dyDescent="0.35">
      <c r="B11" s="1"/>
      <c r="C11" s="1"/>
      <c r="D11" s="237" t="s">
        <v>59</v>
      </c>
      <c r="E11" s="238"/>
      <c r="F11" s="132">
        <f>F9*F10</f>
        <v>0.60000000000000009</v>
      </c>
      <c r="G11" s="1"/>
      <c r="H11" s="138"/>
      <c r="I11" s="139"/>
      <c r="J11" s="1"/>
      <c r="K11" s="1"/>
    </row>
    <row r="12" spans="2:11" x14ac:dyDescent="0.35">
      <c r="B12" s="1"/>
      <c r="C12" s="1"/>
      <c r="D12" s="239" t="s">
        <v>52</v>
      </c>
      <c r="E12" s="240"/>
      <c r="F12" s="241"/>
      <c r="G12" s="1"/>
      <c r="H12" s="1"/>
      <c r="I12" s="1"/>
      <c r="J12" s="1"/>
      <c r="K12" s="1"/>
    </row>
    <row r="13" spans="2:11" x14ac:dyDescent="0.35">
      <c r="B13" s="1"/>
      <c r="C13" s="1"/>
      <c r="D13" s="237" t="s">
        <v>61</v>
      </c>
      <c r="E13" s="238"/>
      <c r="F13" s="60">
        <f>Budget!E13</f>
        <v>0.7</v>
      </c>
      <c r="G13" s="1"/>
      <c r="H13" s="1"/>
      <c r="I13" s="1"/>
      <c r="J13" s="1"/>
      <c r="K13" s="1"/>
    </row>
    <row r="14" spans="2:11" x14ac:dyDescent="0.35">
      <c r="B14" s="1"/>
      <c r="C14" s="1"/>
      <c r="D14" s="237" t="s">
        <v>62</v>
      </c>
      <c r="E14" s="238"/>
      <c r="F14" s="60">
        <f>Budget!E14</f>
        <v>0.2</v>
      </c>
      <c r="G14" s="1"/>
      <c r="H14" s="1"/>
      <c r="I14" s="1"/>
      <c r="J14" s="1"/>
      <c r="K14" s="1"/>
    </row>
    <row r="15" spans="2:11" x14ac:dyDescent="0.35">
      <c r="B15" s="1"/>
      <c r="C15" s="1"/>
      <c r="D15" s="237" t="s">
        <v>63</v>
      </c>
      <c r="E15" s="238"/>
      <c r="F15" s="105">
        <f>Budget!E15</f>
        <v>0.1</v>
      </c>
      <c r="G15" s="1"/>
      <c r="H15" s="1"/>
      <c r="I15" s="1"/>
      <c r="J15" s="1"/>
      <c r="K15" s="1"/>
    </row>
    <row r="16" spans="2:11" x14ac:dyDescent="0.35">
      <c r="B16" s="7"/>
      <c r="C16" s="7"/>
      <c r="D16" s="242" t="s">
        <v>103</v>
      </c>
      <c r="E16" s="243"/>
      <c r="F16" s="103"/>
      <c r="G16" s="1"/>
      <c r="H16" s="1"/>
      <c r="I16" s="1"/>
      <c r="J16" s="1"/>
      <c r="K16" s="1"/>
    </row>
    <row r="17" spans="2:11" x14ac:dyDescent="0.35">
      <c r="B17" s="1"/>
      <c r="C17" s="1"/>
      <c r="D17" s="250" t="s">
        <v>57</v>
      </c>
      <c r="E17" s="251"/>
      <c r="F17" s="106">
        <f>ROUND(F5/F6,0)</f>
        <v>100</v>
      </c>
      <c r="G17" s="1"/>
      <c r="H17" s="1"/>
      <c r="I17" s="1"/>
      <c r="J17" s="1"/>
      <c r="K17" s="1"/>
    </row>
    <row r="18" spans="2:11" ht="16" thickBot="1" x14ac:dyDescent="0.4">
      <c r="B18" s="2"/>
      <c r="C18" s="2"/>
      <c r="D18" s="252" t="s">
        <v>102</v>
      </c>
      <c r="E18" s="253"/>
      <c r="F18" s="104">
        <f>ROUND(F5*F9/F7,0)</f>
        <v>652</v>
      </c>
      <c r="G18" s="1"/>
      <c r="H18" s="1"/>
      <c r="I18" s="1"/>
      <c r="J18" s="1"/>
      <c r="K18" s="1"/>
    </row>
    <row r="19" spans="2:11" x14ac:dyDescent="0.35">
      <c r="B19" s="2"/>
      <c r="C19" s="2"/>
      <c r="D19" s="2"/>
      <c r="E19" s="14"/>
      <c r="F19" s="2"/>
      <c r="G19" s="1"/>
      <c r="H19" s="1"/>
      <c r="I19" s="1"/>
      <c r="J19" s="1"/>
      <c r="K19" s="1"/>
    </row>
    <row r="20" spans="2:11" ht="18.5" x14ac:dyDescent="0.45">
      <c r="B20" s="236" t="s">
        <v>12</v>
      </c>
      <c r="C20" s="236"/>
      <c r="D20" s="236"/>
      <c r="E20" s="236"/>
      <c r="F20" s="236"/>
      <c r="G20" s="236"/>
      <c r="H20" s="236"/>
      <c r="I20" s="236"/>
      <c r="J20" s="236"/>
      <c r="K20" s="236"/>
    </row>
    <row r="21" spans="2:11" ht="16" thickBot="1" x14ac:dyDescent="0.4">
      <c r="B21" s="23" t="s">
        <v>0</v>
      </c>
      <c r="C21" s="34" t="s">
        <v>1</v>
      </c>
      <c r="D21" s="33" t="s">
        <v>2</v>
      </c>
      <c r="E21" s="33" t="s">
        <v>72</v>
      </c>
      <c r="F21" s="33" t="s">
        <v>117</v>
      </c>
      <c r="G21" s="33" t="s">
        <v>3</v>
      </c>
      <c r="H21" s="33" t="s">
        <v>4</v>
      </c>
      <c r="I21" s="33" t="s">
        <v>5</v>
      </c>
      <c r="J21" s="33" t="s">
        <v>6</v>
      </c>
      <c r="K21" s="33" t="s">
        <v>7</v>
      </c>
    </row>
    <row r="22" spans="2:11" x14ac:dyDescent="0.35">
      <c r="B22" s="25" t="s">
        <v>8</v>
      </c>
      <c r="C22" s="68">
        <f>Budget!B22</f>
        <v>7</v>
      </c>
      <c r="D22" s="140">
        <f>Budget!C22</f>
        <v>4</v>
      </c>
      <c r="E22" s="146">
        <f>Budget!D22</f>
        <v>25</v>
      </c>
      <c r="F22" s="149">
        <f>Budget!E22</f>
        <v>175</v>
      </c>
      <c r="G22" s="149">
        <f>Budget!F22</f>
        <v>175</v>
      </c>
      <c r="H22" s="149">
        <f>Budget!G22</f>
        <v>180</v>
      </c>
      <c r="I22" s="149">
        <f>Budget!H22</f>
        <v>186</v>
      </c>
      <c r="J22" s="149">
        <f>Budget!I22</f>
        <v>191</v>
      </c>
      <c r="K22" s="149">
        <f>Budget!J22</f>
        <v>197</v>
      </c>
    </row>
    <row r="23" spans="2:11" x14ac:dyDescent="0.35">
      <c r="B23" s="16" t="s">
        <v>9</v>
      </c>
      <c r="C23" s="67">
        <f>Budget!B23</f>
        <v>6.2</v>
      </c>
      <c r="D23" s="141">
        <f>Budget!C23</f>
        <v>10</v>
      </c>
      <c r="E23" s="181">
        <f>Budget!D23</f>
        <v>65</v>
      </c>
      <c r="F23" s="150">
        <f>Budget!E23</f>
        <v>404</v>
      </c>
      <c r="G23" s="150">
        <f>Budget!F23</f>
        <v>403</v>
      </c>
      <c r="H23" s="150">
        <f>Budget!G23</f>
        <v>415</v>
      </c>
      <c r="I23" s="150">
        <f>Budget!H23</f>
        <v>428</v>
      </c>
      <c r="J23" s="150">
        <f>Budget!I23</f>
        <v>440</v>
      </c>
      <c r="K23" s="150">
        <f>Budget!J23</f>
        <v>454</v>
      </c>
    </row>
    <row r="24" spans="2:11" x14ac:dyDescent="0.35">
      <c r="B24" s="16" t="s">
        <v>10</v>
      </c>
      <c r="C24" s="67">
        <f>Budget!B24</f>
        <v>250</v>
      </c>
      <c r="D24" s="141">
        <f>Budget!C24</f>
        <v>3</v>
      </c>
      <c r="E24" s="182">
        <f>Budget!D24</f>
        <v>1</v>
      </c>
      <c r="F24" s="151">
        <f>Budget!E24</f>
        <v>0</v>
      </c>
      <c r="G24" s="150">
        <f>Budget!F24</f>
        <v>250</v>
      </c>
      <c r="H24" s="150">
        <f>Budget!G24</f>
        <v>0</v>
      </c>
      <c r="I24" s="150">
        <f>Budget!H24</f>
        <v>0</v>
      </c>
      <c r="J24" s="150">
        <f>Budget!I24</f>
        <v>273</v>
      </c>
      <c r="K24" s="150">
        <f>Budget!J24</f>
        <v>0</v>
      </c>
    </row>
    <row r="25" spans="2:11" x14ac:dyDescent="0.35">
      <c r="B25" s="16" t="s">
        <v>11</v>
      </c>
      <c r="C25" s="67">
        <f>Budget!B25</f>
        <v>18000</v>
      </c>
      <c r="D25" s="141">
        <f>Budget!C25</f>
        <v>7</v>
      </c>
      <c r="E25" s="141">
        <f>Budget!D25</f>
        <v>0</v>
      </c>
      <c r="F25" s="152">
        <f>Budget!E25</f>
        <v>0</v>
      </c>
      <c r="G25" s="150">
        <f>Budget!F25</f>
        <v>0</v>
      </c>
      <c r="H25" s="150">
        <f>Budget!G25</f>
        <v>0</v>
      </c>
      <c r="I25" s="150">
        <f>Budget!H25</f>
        <v>0</v>
      </c>
      <c r="J25" s="150">
        <f>Budget!I25</f>
        <v>0</v>
      </c>
      <c r="K25" s="150">
        <f>Budget!J25</f>
        <v>0</v>
      </c>
    </row>
    <row r="26" spans="2:11" x14ac:dyDescent="0.35">
      <c r="B26" s="16" t="s">
        <v>69</v>
      </c>
      <c r="C26" s="67">
        <f>Budget!B26</f>
        <v>28000</v>
      </c>
      <c r="D26" s="141">
        <f>Budget!C26</f>
        <v>10</v>
      </c>
      <c r="E26" s="141">
        <f>Budget!D26</f>
        <v>0</v>
      </c>
      <c r="F26" s="152">
        <f>Budget!E26</f>
        <v>0</v>
      </c>
      <c r="G26" s="150">
        <f>Budget!F26</f>
        <v>0</v>
      </c>
      <c r="H26" s="150">
        <f>Budget!G26</f>
        <v>0</v>
      </c>
      <c r="I26" s="150">
        <f>Budget!H26</f>
        <v>0</v>
      </c>
      <c r="J26" s="150">
        <f>Budget!I26</f>
        <v>0</v>
      </c>
      <c r="K26" s="150">
        <f>Budget!J26</f>
        <v>0</v>
      </c>
    </row>
    <row r="27" spans="2:11" x14ac:dyDescent="0.35">
      <c r="B27" s="16" t="s">
        <v>70</v>
      </c>
      <c r="C27" s="67">
        <f>Budget!B27</f>
        <v>10000</v>
      </c>
      <c r="D27" s="141">
        <f>Budget!C27</f>
        <v>3</v>
      </c>
      <c r="E27" s="141">
        <f>Budget!D27</f>
        <v>0</v>
      </c>
      <c r="F27" s="152">
        <f>Budget!E27</f>
        <v>0</v>
      </c>
      <c r="G27" s="150">
        <f>Budget!F27</f>
        <v>0</v>
      </c>
      <c r="H27" s="150">
        <f>Budget!G27</f>
        <v>0</v>
      </c>
      <c r="I27" s="150">
        <f>Budget!H27</f>
        <v>0</v>
      </c>
      <c r="J27" s="150">
        <f>Budget!I27</f>
        <v>0</v>
      </c>
      <c r="K27" s="150">
        <f>Budget!J27</f>
        <v>0</v>
      </c>
    </row>
    <row r="28" spans="2:11" ht="44" thickBot="1" x14ac:dyDescent="0.4">
      <c r="B28" s="98" t="s">
        <v>71</v>
      </c>
      <c r="C28" s="69">
        <f>Budget!B28</f>
        <v>1000</v>
      </c>
      <c r="D28" s="142">
        <f>Budget!C28</f>
        <v>5</v>
      </c>
      <c r="E28" s="142">
        <f>Budget!D28</f>
        <v>1</v>
      </c>
      <c r="F28" s="153">
        <f>Budget!E28</f>
        <v>0</v>
      </c>
      <c r="G28" s="154">
        <f>Budget!F28</f>
        <v>1000</v>
      </c>
      <c r="H28" s="154">
        <f>Budget!G28</f>
        <v>0</v>
      </c>
      <c r="I28" s="154">
        <f>Budget!H28</f>
        <v>0</v>
      </c>
      <c r="J28" s="154">
        <f>Budget!I28</f>
        <v>0</v>
      </c>
      <c r="K28" s="154">
        <f>Budget!J28</f>
        <v>0</v>
      </c>
    </row>
    <row r="29" spans="2:11" x14ac:dyDescent="0.35">
      <c r="B29" s="5" t="s">
        <v>45</v>
      </c>
      <c r="C29" s="6"/>
      <c r="D29" s="7"/>
      <c r="E29" s="7"/>
      <c r="F29" s="15"/>
      <c r="G29" s="15">
        <f>SUM(G22:G28)</f>
        <v>1828</v>
      </c>
      <c r="H29" s="15">
        <f>SUM(H22:H28)</f>
        <v>595</v>
      </c>
      <c r="I29" s="15">
        <f>SUM(I22:I28)</f>
        <v>614</v>
      </c>
      <c r="J29" s="15">
        <f>SUM(J22:J28)</f>
        <v>904</v>
      </c>
      <c r="K29" s="15">
        <f>SUM(K22:K28)</f>
        <v>651</v>
      </c>
    </row>
    <row r="30" spans="2:11" x14ac:dyDescent="0.35">
      <c r="B30" s="1"/>
      <c r="C30" s="1"/>
      <c r="D30" s="1"/>
      <c r="E30" s="4"/>
      <c r="F30" s="1"/>
      <c r="G30" s="1"/>
      <c r="H30" s="1"/>
      <c r="I30" s="1"/>
      <c r="J30" s="1"/>
      <c r="K30" s="1"/>
    </row>
    <row r="31" spans="2:11" x14ac:dyDescent="0.35">
      <c r="B31" s="107"/>
      <c r="C31" s="107"/>
      <c r="D31" s="107"/>
      <c r="E31" s="4"/>
      <c r="F31" s="1"/>
      <c r="G31" s="1"/>
      <c r="H31" s="1"/>
      <c r="I31" s="1"/>
      <c r="J31" s="1"/>
      <c r="K31" s="1"/>
    </row>
    <row r="32" spans="2:11" x14ac:dyDescent="0.35">
      <c r="B32" s="107"/>
      <c r="C32" s="107"/>
      <c r="D32" s="107"/>
      <c r="E32" s="4"/>
      <c r="F32" s="1"/>
      <c r="G32" s="1"/>
      <c r="H32" s="1"/>
      <c r="I32" s="1"/>
      <c r="J32" s="1"/>
      <c r="K32" s="1"/>
    </row>
    <row r="33" spans="2:11" x14ac:dyDescent="0.35">
      <c r="B33" s="107"/>
      <c r="C33" s="107"/>
      <c r="D33" s="107"/>
      <c r="E33" s="4"/>
      <c r="F33" s="1"/>
      <c r="G33" s="1"/>
      <c r="H33" s="1"/>
      <c r="I33" s="1"/>
      <c r="J33" s="1"/>
      <c r="K33" s="1"/>
    </row>
    <row r="34" spans="2:11" x14ac:dyDescent="0.35">
      <c r="B34" s="107"/>
      <c r="C34" s="107"/>
      <c r="D34" s="107"/>
      <c r="E34" s="4"/>
      <c r="F34" s="1"/>
      <c r="G34" s="1"/>
      <c r="H34" s="1"/>
      <c r="I34" s="1"/>
      <c r="J34" s="1"/>
      <c r="K34" s="1"/>
    </row>
    <row r="35" spans="2:11" x14ac:dyDescent="0.35">
      <c r="B35" s="107"/>
      <c r="C35" s="107"/>
      <c r="D35" s="107"/>
      <c r="E35" s="4"/>
      <c r="F35" s="1"/>
      <c r="G35" s="1"/>
      <c r="H35" s="1"/>
      <c r="I35" s="1"/>
      <c r="J35" s="1"/>
      <c r="K35" s="1"/>
    </row>
    <row r="36" spans="2:11" x14ac:dyDescent="0.35">
      <c r="B36" s="107"/>
      <c r="C36" s="107"/>
      <c r="D36" s="107"/>
      <c r="E36" s="4"/>
      <c r="F36" s="1"/>
      <c r="G36" s="1"/>
      <c r="H36" s="1"/>
      <c r="I36" s="1"/>
      <c r="J36" s="1"/>
      <c r="K36" s="1"/>
    </row>
    <row r="37" spans="2:11" ht="18.5" x14ac:dyDescent="0.45">
      <c r="B37" s="236" t="s">
        <v>14</v>
      </c>
      <c r="C37" s="236"/>
      <c r="D37" s="236"/>
      <c r="E37" s="236"/>
      <c r="F37" s="236"/>
      <c r="G37" s="236"/>
      <c r="H37" s="236"/>
      <c r="I37" s="236"/>
      <c r="J37" s="1"/>
      <c r="K37" s="1"/>
    </row>
    <row r="38" spans="2:11" ht="44" thickBot="1" x14ac:dyDescent="0.4">
      <c r="B38" s="33" t="s">
        <v>13</v>
      </c>
      <c r="C38" s="23" t="s">
        <v>107</v>
      </c>
      <c r="D38" s="122" t="s">
        <v>110</v>
      </c>
      <c r="E38" s="34" t="s">
        <v>3</v>
      </c>
      <c r="F38" s="33" t="s">
        <v>4</v>
      </c>
      <c r="G38" s="33" t="s">
        <v>5</v>
      </c>
      <c r="H38" s="33" t="s">
        <v>6</v>
      </c>
      <c r="I38" s="33" t="s">
        <v>7</v>
      </c>
      <c r="J38" s="1"/>
      <c r="K38" s="1"/>
    </row>
    <row r="39" spans="2:11" x14ac:dyDescent="0.35">
      <c r="B39" s="41" t="s">
        <v>14</v>
      </c>
      <c r="C39" s="1"/>
      <c r="D39" s="1"/>
      <c r="E39" s="32"/>
      <c r="F39" s="9"/>
      <c r="G39" s="9"/>
      <c r="H39" s="9"/>
      <c r="I39" s="102"/>
      <c r="J39" s="1"/>
      <c r="K39" s="1"/>
    </row>
    <row r="40" spans="2:11" x14ac:dyDescent="0.35">
      <c r="B40" s="25" t="s">
        <v>15</v>
      </c>
      <c r="C40" s="115">
        <f>F5</f>
        <v>1000000</v>
      </c>
      <c r="D40" s="118">
        <f>I5</f>
        <v>6.0000000000000001E-3</v>
      </c>
      <c r="E40" s="119">
        <f>C40*D40</f>
        <v>6000</v>
      </c>
      <c r="F40" s="30">
        <v>6000</v>
      </c>
      <c r="G40" s="30">
        <v>6000</v>
      </c>
      <c r="H40" s="30">
        <v>6000</v>
      </c>
      <c r="I40" s="30">
        <v>6000</v>
      </c>
      <c r="J40" s="12"/>
      <c r="K40" s="12"/>
    </row>
    <row r="41" spans="2:11" x14ac:dyDescent="0.35">
      <c r="B41" s="16" t="s">
        <v>108</v>
      </c>
      <c r="C41" s="116">
        <f>F17+F18</f>
        <v>752</v>
      </c>
      <c r="D41" s="67">
        <f>Budget!C35</f>
        <v>2</v>
      </c>
      <c r="E41" s="125">
        <f>C41*D41</f>
        <v>1504</v>
      </c>
      <c r="F41" s="29">
        <f>ROUND(E41+E41*0.03,0)</f>
        <v>1549</v>
      </c>
      <c r="G41" s="29">
        <f>ROUND(F41+F41*0.03,0)</f>
        <v>1595</v>
      </c>
      <c r="H41" s="29">
        <f t="shared" ref="H41:I52" si="0">ROUND(G41+G41*0.03,0)</f>
        <v>1643</v>
      </c>
      <c r="I41" s="29">
        <f t="shared" si="0"/>
        <v>1692</v>
      </c>
      <c r="J41" s="1"/>
      <c r="K41" s="1"/>
    </row>
    <row r="42" spans="2:11" x14ac:dyDescent="0.35">
      <c r="B42" s="16" t="s">
        <v>16</v>
      </c>
      <c r="C42" s="131">
        <f>Budget!B36</f>
        <v>205</v>
      </c>
      <c r="D42" s="67">
        <f>Budget!C36</f>
        <v>3.5</v>
      </c>
      <c r="E42" s="125">
        <f>C42*D42</f>
        <v>717.5</v>
      </c>
      <c r="F42" s="29">
        <f t="shared" ref="F42:G48" si="1">ROUND(E42+E42*0.03,0)</f>
        <v>739</v>
      </c>
      <c r="G42" s="29">
        <f t="shared" si="1"/>
        <v>761</v>
      </c>
      <c r="H42" s="29">
        <f t="shared" si="0"/>
        <v>784</v>
      </c>
      <c r="I42" s="29">
        <f t="shared" si="0"/>
        <v>808</v>
      </c>
      <c r="J42" s="1"/>
      <c r="K42" s="1"/>
    </row>
    <row r="43" spans="2:11" x14ac:dyDescent="0.35">
      <c r="B43" s="16" t="s">
        <v>17</v>
      </c>
      <c r="C43" s="131">
        <f>Budget!B37</f>
        <v>205</v>
      </c>
      <c r="D43" s="67">
        <f>Budget!C37</f>
        <v>3.5</v>
      </c>
      <c r="E43" s="125">
        <f>C43*D43</f>
        <v>717.5</v>
      </c>
      <c r="F43" s="29">
        <f t="shared" si="1"/>
        <v>739</v>
      </c>
      <c r="G43" s="29">
        <f t="shared" si="1"/>
        <v>761</v>
      </c>
      <c r="H43" s="29">
        <f t="shared" si="0"/>
        <v>784</v>
      </c>
      <c r="I43" s="29">
        <f t="shared" si="0"/>
        <v>808</v>
      </c>
      <c r="J43" s="1"/>
      <c r="K43" s="1"/>
    </row>
    <row r="44" spans="2:11" x14ac:dyDescent="0.35">
      <c r="B44" s="16" t="s">
        <v>18</v>
      </c>
      <c r="C44" s="164">
        <f>Budget!B38</f>
        <v>1</v>
      </c>
      <c r="D44" s="67">
        <f>Budget!C38</f>
        <v>100</v>
      </c>
      <c r="E44" s="125">
        <f>C44*D44</f>
        <v>100</v>
      </c>
      <c r="F44" s="29">
        <f t="shared" si="1"/>
        <v>103</v>
      </c>
      <c r="G44" s="29">
        <f t="shared" si="1"/>
        <v>106</v>
      </c>
      <c r="H44" s="29">
        <f t="shared" si="0"/>
        <v>109</v>
      </c>
      <c r="I44" s="29">
        <f t="shared" si="0"/>
        <v>112</v>
      </c>
      <c r="J44" s="1"/>
      <c r="K44" s="1"/>
    </row>
    <row r="45" spans="2:11" x14ac:dyDescent="0.35">
      <c r="B45" s="16" t="s">
        <v>77</v>
      </c>
      <c r="C45" s="121"/>
      <c r="D45" s="67">
        <f>Budget!C39</f>
        <v>2800</v>
      </c>
      <c r="E45" s="125">
        <f>D45</f>
        <v>2800</v>
      </c>
      <c r="F45" s="29">
        <f t="shared" si="1"/>
        <v>2884</v>
      </c>
      <c r="G45" s="29">
        <f t="shared" si="1"/>
        <v>2971</v>
      </c>
      <c r="H45" s="29">
        <f t="shared" si="0"/>
        <v>3060</v>
      </c>
      <c r="I45" s="29">
        <f t="shared" si="0"/>
        <v>3152</v>
      </c>
      <c r="J45" s="1"/>
      <c r="K45" s="1"/>
    </row>
    <row r="46" spans="2:11" x14ac:dyDescent="0.35">
      <c r="B46" s="16" t="s">
        <v>78</v>
      </c>
      <c r="C46" s="120">
        <f>ROUND(0.75*F17+0.9*F18,0)</f>
        <v>662</v>
      </c>
      <c r="D46" s="67">
        <f>Budget!C40</f>
        <v>1.25</v>
      </c>
      <c r="E46" s="125">
        <f>C46*D46</f>
        <v>827.5</v>
      </c>
      <c r="F46" s="29">
        <f t="shared" si="1"/>
        <v>852</v>
      </c>
      <c r="G46" s="29">
        <f t="shared" si="1"/>
        <v>878</v>
      </c>
      <c r="H46" s="29">
        <f t="shared" si="0"/>
        <v>904</v>
      </c>
      <c r="I46" s="29">
        <f t="shared" si="0"/>
        <v>931</v>
      </c>
      <c r="J46" s="1"/>
      <c r="K46" s="1"/>
    </row>
    <row r="47" spans="2:11" x14ac:dyDescent="0.35">
      <c r="B47" s="16" t="s">
        <v>111</v>
      </c>
      <c r="C47" s="120"/>
      <c r="D47" s="67">
        <f>Budget!C41</f>
        <v>4400</v>
      </c>
      <c r="E47" s="125">
        <f>D47</f>
        <v>4400</v>
      </c>
      <c r="F47" s="119">
        <f t="shared" si="1"/>
        <v>4532</v>
      </c>
      <c r="G47" s="119">
        <f t="shared" si="1"/>
        <v>4668</v>
      </c>
      <c r="H47" s="119">
        <f t="shared" si="0"/>
        <v>4808</v>
      </c>
      <c r="I47" s="119">
        <f t="shared" si="0"/>
        <v>4952</v>
      </c>
      <c r="J47" s="1"/>
      <c r="K47" s="1"/>
    </row>
    <row r="48" spans="2:11" x14ac:dyDescent="0.35">
      <c r="B48" s="16" t="s">
        <v>66</v>
      </c>
      <c r="C48" s="120"/>
      <c r="D48" s="67">
        <f>Budget!C42</f>
        <v>250</v>
      </c>
      <c r="E48" s="125">
        <f>D48</f>
        <v>250</v>
      </c>
      <c r="F48" s="29">
        <f t="shared" si="1"/>
        <v>258</v>
      </c>
      <c r="G48" s="29">
        <f t="shared" si="1"/>
        <v>266</v>
      </c>
      <c r="H48" s="29">
        <f t="shared" si="0"/>
        <v>274</v>
      </c>
      <c r="I48" s="29">
        <f t="shared" si="0"/>
        <v>282</v>
      </c>
      <c r="J48" s="1"/>
      <c r="K48" s="1"/>
    </row>
    <row r="49" spans="2:11" x14ac:dyDescent="0.35">
      <c r="B49" s="42" t="s">
        <v>68</v>
      </c>
      <c r="C49" s="114"/>
      <c r="D49" s="114"/>
      <c r="E49" s="126"/>
      <c r="F49" s="35"/>
      <c r="G49" s="35"/>
      <c r="H49" s="35"/>
      <c r="I49" s="36"/>
      <c r="J49" s="12"/>
      <c r="K49" s="12"/>
    </row>
    <row r="50" spans="2:11" x14ac:dyDescent="0.35">
      <c r="B50" s="16" t="s">
        <v>48</v>
      </c>
      <c r="C50" s="47">
        <f>Budget!B44</f>
        <v>1</v>
      </c>
      <c r="D50" s="47">
        <f>Budget!C44</f>
        <v>750</v>
      </c>
      <c r="E50" s="127">
        <v>750</v>
      </c>
      <c r="F50" s="29">
        <f>ROUND(E50+E50*0.03,0)</f>
        <v>773</v>
      </c>
      <c r="G50" s="29">
        <f>ROUND(F50+F50*0.03,0)</f>
        <v>796</v>
      </c>
      <c r="H50" s="29">
        <f t="shared" si="0"/>
        <v>820</v>
      </c>
      <c r="I50" s="29">
        <f t="shared" si="0"/>
        <v>845</v>
      </c>
      <c r="J50" s="1"/>
      <c r="K50" s="1"/>
    </row>
    <row r="51" spans="2:11" x14ac:dyDescent="0.35">
      <c r="B51" s="16" t="s">
        <v>49</v>
      </c>
      <c r="C51" s="47">
        <f>Budget!B45</f>
        <v>1</v>
      </c>
      <c r="D51" s="47">
        <f>Budget!C45</f>
        <v>250</v>
      </c>
      <c r="E51" s="127">
        <v>250</v>
      </c>
      <c r="F51" s="29">
        <v>250</v>
      </c>
      <c r="G51" s="29">
        <v>250</v>
      </c>
      <c r="H51" s="29">
        <v>250</v>
      </c>
      <c r="I51" s="29">
        <v>250</v>
      </c>
      <c r="J51" s="1"/>
      <c r="K51" s="1"/>
    </row>
    <row r="52" spans="2:11" x14ac:dyDescent="0.35">
      <c r="B52" s="16" t="s">
        <v>20</v>
      </c>
      <c r="C52" s="47">
        <f>Budget!B46</f>
        <v>1</v>
      </c>
      <c r="D52" s="47">
        <f>Budget!C46</f>
        <v>500</v>
      </c>
      <c r="E52" s="127">
        <v>500</v>
      </c>
      <c r="F52" s="29">
        <f>ROUND(E52+E52*0.03,0)</f>
        <v>515</v>
      </c>
      <c r="G52" s="29">
        <f>ROUND(F52+F52*0.03,0)</f>
        <v>530</v>
      </c>
      <c r="H52" s="29">
        <f t="shared" si="0"/>
        <v>546</v>
      </c>
      <c r="I52" s="29">
        <f t="shared" si="0"/>
        <v>562</v>
      </c>
      <c r="J52" s="1"/>
      <c r="K52" s="1"/>
    </row>
    <row r="53" spans="2:11" x14ac:dyDescent="0.35">
      <c r="B53" s="108" t="s">
        <v>104</v>
      </c>
      <c r="C53" s="130">
        <f>Budget!B47</f>
        <v>1</v>
      </c>
      <c r="D53" s="130">
        <f>Budget!C47</f>
        <v>27</v>
      </c>
      <c r="E53" s="128">
        <v>27</v>
      </c>
      <c r="F53" s="109">
        <v>27</v>
      </c>
      <c r="G53" s="109">
        <v>27</v>
      </c>
      <c r="H53" s="109">
        <v>27</v>
      </c>
      <c r="I53" s="109">
        <v>27</v>
      </c>
      <c r="J53" s="1"/>
      <c r="K53" s="1"/>
    </row>
    <row r="54" spans="2:11" ht="16" thickBot="1" x14ac:dyDescent="0.4">
      <c r="B54" s="27" t="s">
        <v>21</v>
      </c>
      <c r="C54" s="48">
        <f>Budget!B48</f>
        <v>1</v>
      </c>
      <c r="D54" s="48">
        <f>Budget!C48</f>
        <v>100</v>
      </c>
      <c r="E54" s="129">
        <v>100</v>
      </c>
      <c r="F54" s="110">
        <v>100</v>
      </c>
      <c r="G54" s="110">
        <v>100</v>
      </c>
      <c r="H54" s="110">
        <v>100</v>
      </c>
      <c r="I54" s="110">
        <v>100</v>
      </c>
      <c r="J54" s="1"/>
      <c r="K54" s="1"/>
    </row>
    <row r="55" spans="2:11" x14ac:dyDescent="0.35">
      <c r="B55" s="3" t="s">
        <v>22</v>
      </c>
      <c r="C55" s="3"/>
      <c r="D55" s="3"/>
      <c r="E55" s="10">
        <f>SUM(E40:E54)</f>
        <v>18943.5</v>
      </c>
      <c r="F55" s="10">
        <f>SUM(F40:F54)</f>
        <v>19321</v>
      </c>
      <c r="G55" s="10">
        <f>SUM(G40:G54)</f>
        <v>19709</v>
      </c>
      <c r="H55" s="10">
        <f>SUM(H40:H54)</f>
        <v>20109</v>
      </c>
      <c r="I55" s="10">
        <f>SUM(I40:I54)</f>
        <v>20521</v>
      </c>
      <c r="J55" s="1"/>
      <c r="K55" s="1"/>
    </row>
    <row r="56" spans="2:11" x14ac:dyDescent="0.35">
      <c r="B56" s="3"/>
      <c r="C56" s="3"/>
      <c r="D56" s="3"/>
      <c r="E56" s="10"/>
      <c r="F56" s="10"/>
      <c r="G56" s="10"/>
      <c r="H56" s="10"/>
      <c r="I56" s="10"/>
      <c r="J56" s="1"/>
      <c r="K56" s="1"/>
    </row>
    <row r="57" spans="2:11" x14ac:dyDescent="0.35">
      <c r="B57" s="3"/>
      <c r="C57" s="3"/>
      <c r="D57" s="3"/>
      <c r="E57" s="10"/>
      <c r="F57" s="10"/>
      <c r="G57" s="10"/>
      <c r="H57" s="10"/>
      <c r="I57" s="10"/>
      <c r="J57" s="1"/>
      <c r="K57" s="1"/>
    </row>
    <row r="58" spans="2:11" x14ac:dyDescent="0.35">
      <c r="B58" s="1"/>
      <c r="C58" s="1"/>
      <c r="D58" s="1"/>
      <c r="E58" s="8"/>
      <c r="F58" s="8"/>
      <c r="G58" s="8"/>
      <c r="H58" s="8"/>
      <c r="I58" s="8"/>
      <c r="J58" s="1"/>
      <c r="K58" s="1"/>
    </row>
    <row r="59" spans="2:11" ht="18.5" x14ac:dyDescent="0.45">
      <c r="B59" s="236" t="s">
        <v>76</v>
      </c>
      <c r="C59" s="236"/>
      <c r="D59" s="236"/>
      <c r="E59" s="236"/>
      <c r="F59" s="236"/>
      <c r="G59" s="236"/>
      <c r="H59" s="236"/>
      <c r="I59" s="236"/>
      <c r="J59" s="1"/>
      <c r="K59" s="1"/>
    </row>
    <row r="60" spans="2:11" ht="16" thickBot="1" x14ac:dyDescent="0.4">
      <c r="B60" s="37"/>
      <c r="C60" s="34" t="s">
        <v>3</v>
      </c>
      <c r="D60" s="33" t="s">
        <v>4</v>
      </c>
      <c r="E60" s="33" t="s">
        <v>5</v>
      </c>
      <c r="F60" s="33" t="s">
        <v>6</v>
      </c>
      <c r="G60" s="33" t="s">
        <v>7</v>
      </c>
      <c r="H60" s="1"/>
      <c r="I60" s="1"/>
      <c r="J60" s="1"/>
      <c r="K60" s="1"/>
    </row>
    <row r="61" spans="2:11" x14ac:dyDescent="0.35">
      <c r="B61" s="25" t="s">
        <v>23</v>
      </c>
      <c r="C61" s="155">
        <f>Budget!$B$56</f>
        <v>0</v>
      </c>
      <c r="D61" s="39">
        <f>C68</f>
        <v>22428.500000000007</v>
      </c>
      <c r="E61" s="39">
        <f>D68</f>
        <v>45712.500000000015</v>
      </c>
      <c r="F61" s="39">
        <f>E68</f>
        <v>68589.500000000029</v>
      </c>
      <c r="G61" s="39">
        <f>F68</f>
        <v>90776.500000000029</v>
      </c>
      <c r="H61" s="1"/>
      <c r="I61" s="1"/>
      <c r="J61" s="1"/>
      <c r="K61" s="1"/>
    </row>
    <row r="62" spans="2:11" x14ac:dyDescent="0.35">
      <c r="B62" s="16" t="s">
        <v>24</v>
      </c>
      <c r="C62" s="38">
        <f>F90</f>
        <v>43200.000000000007</v>
      </c>
      <c r="D62" s="38">
        <f>F90</f>
        <v>43200.000000000007</v>
      </c>
      <c r="E62" s="38">
        <f>F90</f>
        <v>43200.000000000007</v>
      </c>
      <c r="F62" s="38">
        <f>F90</f>
        <v>43200.000000000007</v>
      </c>
      <c r="G62" s="38">
        <f>F90</f>
        <v>43200.000000000007</v>
      </c>
      <c r="H62" s="1"/>
      <c r="I62" s="1"/>
      <c r="J62" s="1"/>
      <c r="K62" s="1"/>
    </row>
    <row r="63" spans="2:11" x14ac:dyDescent="0.35">
      <c r="B63" s="16" t="s">
        <v>25</v>
      </c>
      <c r="C63" s="38"/>
      <c r="D63" s="38"/>
      <c r="E63" s="38"/>
      <c r="F63" s="38"/>
      <c r="G63" s="38"/>
      <c r="H63" s="1"/>
      <c r="I63" s="1"/>
      <c r="J63" s="1"/>
      <c r="K63" s="1"/>
    </row>
    <row r="64" spans="2:11" x14ac:dyDescent="0.35">
      <c r="B64" s="16" t="s">
        <v>64</v>
      </c>
      <c r="C64" s="38">
        <f>E55</f>
        <v>18943.5</v>
      </c>
      <c r="D64" s="38">
        <f>F55</f>
        <v>19321</v>
      </c>
      <c r="E64" s="38">
        <f>G55</f>
        <v>19709</v>
      </c>
      <c r="F64" s="38">
        <f>H55</f>
        <v>20109</v>
      </c>
      <c r="G64" s="38">
        <f>I55</f>
        <v>20521</v>
      </c>
      <c r="H64" s="1"/>
      <c r="I64" s="1"/>
      <c r="J64" s="1"/>
      <c r="K64" s="1"/>
    </row>
    <row r="65" spans="2:11" x14ac:dyDescent="0.35">
      <c r="B65" s="16" t="s">
        <v>65</v>
      </c>
      <c r="C65" s="38">
        <f>G29</f>
        <v>1828</v>
      </c>
      <c r="D65" s="38">
        <f>H29</f>
        <v>595</v>
      </c>
      <c r="E65" s="38">
        <f>I29</f>
        <v>614</v>
      </c>
      <c r="F65" s="38">
        <f>J29</f>
        <v>904</v>
      </c>
      <c r="G65" s="38">
        <f>K29</f>
        <v>651</v>
      </c>
      <c r="H65" s="1"/>
      <c r="I65" s="1"/>
      <c r="J65" s="1"/>
      <c r="K65" s="1"/>
    </row>
    <row r="66" spans="2:11" x14ac:dyDescent="0.35">
      <c r="B66" s="16" t="s">
        <v>28</v>
      </c>
      <c r="C66" s="38">
        <f>C64+C65</f>
        <v>20771.5</v>
      </c>
      <c r="D66" s="38">
        <f>D64+D65</f>
        <v>19916</v>
      </c>
      <c r="E66" s="38">
        <f>E64+E65</f>
        <v>20323</v>
      </c>
      <c r="F66" s="38">
        <f>F64+F65</f>
        <v>21013</v>
      </c>
      <c r="G66" s="38">
        <f>G64+G65</f>
        <v>21172</v>
      </c>
      <c r="H66" s="1"/>
      <c r="I66" s="1"/>
      <c r="J66" s="1"/>
      <c r="K66" s="1"/>
    </row>
    <row r="67" spans="2:11" x14ac:dyDescent="0.35">
      <c r="B67" s="16" t="s">
        <v>26</v>
      </c>
      <c r="C67" s="38">
        <f>C62-C66</f>
        <v>22428.500000000007</v>
      </c>
      <c r="D67" s="38">
        <f>D62-D66</f>
        <v>23284.000000000007</v>
      </c>
      <c r="E67" s="38">
        <f>E62-E66</f>
        <v>22877.000000000007</v>
      </c>
      <c r="F67" s="38">
        <f>F62-F66</f>
        <v>22187.000000000007</v>
      </c>
      <c r="G67" s="38">
        <f>G62-G66</f>
        <v>22028.000000000007</v>
      </c>
      <c r="H67" s="1"/>
      <c r="I67" s="1"/>
      <c r="J67" s="1"/>
      <c r="K67" s="1"/>
    </row>
    <row r="68" spans="2:11" x14ac:dyDescent="0.35">
      <c r="B68" s="16" t="s">
        <v>27</v>
      </c>
      <c r="C68" s="38">
        <f>C61+C67</f>
        <v>22428.500000000007</v>
      </c>
      <c r="D68" s="38">
        <f>D61+D67</f>
        <v>45712.500000000015</v>
      </c>
      <c r="E68" s="38">
        <f>E61+E67</f>
        <v>68589.500000000029</v>
      </c>
      <c r="F68" s="38">
        <f>F61+F67</f>
        <v>90776.500000000029</v>
      </c>
      <c r="G68" s="38">
        <f>G61+G67</f>
        <v>112804.50000000003</v>
      </c>
      <c r="H68" s="1"/>
      <c r="I68" s="1"/>
      <c r="J68" s="1"/>
      <c r="K68" s="1"/>
    </row>
    <row r="69" spans="2:11" x14ac:dyDescent="0.35">
      <c r="B69" s="7"/>
      <c r="C69" s="7"/>
      <c r="D69" s="7"/>
      <c r="E69" s="40"/>
      <c r="F69" s="40"/>
      <c r="G69" s="40"/>
      <c r="H69" s="40"/>
      <c r="I69" s="40"/>
      <c r="J69" s="1"/>
      <c r="K69" s="1"/>
    </row>
    <row r="70" spans="2:11" ht="21.5" x14ac:dyDescent="0.75">
      <c r="B70" s="107"/>
      <c r="C70" s="107"/>
      <c r="D70" s="107"/>
      <c r="E70" s="244" t="s">
        <v>118</v>
      </c>
      <c r="F70" s="244"/>
      <c r="G70" s="1"/>
      <c r="H70" s="1"/>
      <c r="I70" s="1"/>
      <c r="J70" s="1"/>
      <c r="K70" s="1"/>
    </row>
    <row r="71" spans="2:11" x14ac:dyDescent="0.35">
      <c r="B71" s="107"/>
      <c r="C71" s="107"/>
      <c r="D71" s="107"/>
      <c r="E71" s="145"/>
      <c r="F71" s="145"/>
      <c r="G71" s="1"/>
      <c r="H71" s="1"/>
      <c r="I71" s="1"/>
      <c r="J71" s="1"/>
      <c r="K71" s="1"/>
    </row>
    <row r="72" spans="2:11" ht="16" thickBot="1" x14ac:dyDescent="0.4">
      <c r="B72" s="23" t="str">
        <f>Budget!A68</f>
        <v>Capital Item</v>
      </c>
      <c r="C72" s="34" t="str">
        <f>Budget!B68</f>
        <v>Unit Cost</v>
      </c>
      <c r="D72" s="33" t="str">
        <f>Budget!C68</f>
        <v>Years of Life</v>
      </c>
      <c r="E72" s="33" t="str">
        <f>Budget!D68</f>
        <v>Year 1</v>
      </c>
      <c r="F72" s="33" t="str">
        <f>Budget!E68</f>
        <v>Year 2</v>
      </c>
      <c r="G72" s="33" t="str">
        <f>Budget!F68</f>
        <v>Year 3</v>
      </c>
      <c r="H72" s="33" t="str">
        <f>Budget!G68</f>
        <v>Year 4</v>
      </c>
      <c r="I72" s="33" t="str">
        <f>Budget!H68</f>
        <v>Year 5</v>
      </c>
      <c r="J72" s="1"/>
      <c r="K72" s="1"/>
    </row>
    <row r="73" spans="2:11" x14ac:dyDescent="0.35">
      <c r="B73" s="25" t="str">
        <f>Budget!A69</f>
        <v>Nursery Bag</v>
      </c>
      <c r="C73" s="144">
        <f>Budget!B69</f>
        <v>7</v>
      </c>
      <c r="D73" s="140">
        <f>Budget!C69</f>
        <v>4</v>
      </c>
      <c r="E73" s="26">
        <f>Budget!D69</f>
        <v>175</v>
      </c>
      <c r="F73" s="26">
        <f>Budget!E69</f>
        <v>180</v>
      </c>
      <c r="G73" s="26">
        <f>Budget!F69</f>
        <v>185</v>
      </c>
      <c r="H73" s="26">
        <f>Budget!G69</f>
        <v>191</v>
      </c>
      <c r="I73" s="26">
        <f>Budget!H69</f>
        <v>197</v>
      </c>
      <c r="J73" s="1"/>
      <c r="K73" s="1"/>
    </row>
    <row r="74" spans="2:11" x14ac:dyDescent="0.35">
      <c r="B74" s="16" t="str">
        <f>Budget!A70</f>
        <v>Growout Bag</v>
      </c>
      <c r="C74" s="144">
        <f>Budget!B70</f>
        <v>6.2</v>
      </c>
      <c r="D74" s="141">
        <f>Budget!C70</f>
        <v>10</v>
      </c>
      <c r="E74" s="26">
        <f>Budget!D70</f>
        <v>404</v>
      </c>
      <c r="F74" s="26">
        <f>Budget!E70</f>
        <v>416</v>
      </c>
      <c r="G74" s="26">
        <f>Budget!F70</f>
        <v>428</v>
      </c>
      <c r="H74" s="26">
        <f>Budget!G70</f>
        <v>441</v>
      </c>
      <c r="I74" s="26">
        <f>Budget!H70</f>
        <v>454</v>
      </c>
      <c r="J74" s="1"/>
      <c r="K74" s="1"/>
    </row>
    <row r="75" spans="2:11" x14ac:dyDescent="0.35">
      <c r="B75" s="16" t="str">
        <f>Budget!A71</f>
        <v>Wet Suit</v>
      </c>
      <c r="C75" s="144">
        <f>Budget!B71</f>
        <v>250</v>
      </c>
      <c r="D75" s="141">
        <f>Budget!C71</f>
        <v>3</v>
      </c>
      <c r="E75" s="24">
        <f>Budget!D71</f>
        <v>83.333333333333329</v>
      </c>
      <c r="F75" s="24">
        <f>Budget!E71</f>
        <v>86</v>
      </c>
      <c r="G75" s="24">
        <f>Budget!F71</f>
        <v>89</v>
      </c>
      <c r="H75" s="24">
        <f>Budget!G71</f>
        <v>92</v>
      </c>
      <c r="I75" s="24">
        <f>Budget!H71</f>
        <v>95</v>
      </c>
      <c r="J75" s="1"/>
      <c r="K75" s="1"/>
    </row>
    <row r="76" spans="2:11" x14ac:dyDescent="0.35">
      <c r="B76" s="16" t="str">
        <f>Budget!A72</f>
        <v>Boat</v>
      </c>
      <c r="C76" s="144">
        <f>Budget!B72</f>
        <v>18000</v>
      </c>
      <c r="D76" s="141">
        <f>Budget!C72</f>
        <v>7</v>
      </c>
      <c r="E76" s="24">
        <f>Budget!D72</f>
        <v>0</v>
      </c>
      <c r="F76" s="24">
        <f>Budget!E72</f>
        <v>0</v>
      </c>
      <c r="G76" s="24">
        <f>Budget!F72</f>
        <v>0</v>
      </c>
      <c r="H76" s="24">
        <f>Budget!G72</f>
        <v>0</v>
      </c>
      <c r="I76" s="24">
        <f>Budget!H72</f>
        <v>0</v>
      </c>
      <c r="J76" s="1"/>
      <c r="K76" s="1"/>
    </row>
    <row r="77" spans="2:11" x14ac:dyDescent="0.35">
      <c r="B77" s="16" t="str">
        <f>Budget!A73</f>
        <v>Truck</v>
      </c>
      <c r="C77" s="144">
        <f>Budget!B73</f>
        <v>28000</v>
      </c>
      <c r="D77" s="141">
        <f>Budget!C73</f>
        <v>10</v>
      </c>
      <c r="E77" s="24">
        <f>Budget!D73</f>
        <v>0</v>
      </c>
      <c r="F77" s="24">
        <f>Budget!E73</f>
        <v>0</v>
      </c>
      <c r="G77" s="24">
        <f>Budget!F73</f>
        <v>0</v>
      </c>
      <c r="H77" s="24">
        <f>Budget!G73</f>
        <v>0</v>
      </c>
      <c r="I77" s="24">
        <f>Budget!H73</f>
        <v>0</v>
      </c>
      <c r="J77" s="1"/>
      <c r="K77" s="1"/>
    </row>
    <row r="78" spans="2:11" x14ac:dyDescent="0.35">
      <c r="B78" s="16" t="str">
        <f>Budget!A74</f>
        <v>Motor</v>
      </c>
      <c r="C78" s="144">
        <f>Budget!B74</f>
        <v>10000</v>
      </c>
      <c r="D78" s="141">
        <f>Budget!C74</f>
        <v>3</v>
      </c>
      <c r="E78" s="24">
        <f>Budget!D74</f>
        <v>0</v>
      </c>
      <c r="F78" s="24">
        <f>Budget!E74</f>
        <v>0</v>
      </c>
      <c r="G78" s="24">
        <f>Budget!F74</f>
        <v>0</v>
      </c>
      <c r="H78" s="24">
        <f>Budget!G74</f>
        <v>0</v>
      </c>
      <c r="I78" s="24">
        <f>Budget!H74</f>
        <v>0</v>
      </c>
      <c r="J78" s="1"/>
      <c r="K78" s="1"/>
    </row>
    <row r="79" spans="2:11" ht="44" thickBot="1" x14ac:dyDescent="0.4">
      <c r="B79" s="98" t="str">
        <f>Budget!A75</f>
        <v>Winch/Davit/Boom/Pulley/Batteries</v>
      </c>
      <c r="C79" s="129">
        <f>Budget!B75</f>
        <v>1000</v>
      </c>
      <c r="D79" s="142">
        <f>Budget!C75</f>
        <v>5</v>
      </c>
      <c r="E79" s="28">
        <f>Budget!D75</f>
        <v>200</v>
      </c>
      <c r="F79" s="28">
        <f>Budget!E75</f>
        <v>206</v>
      </c>
      <c r="G79" s="28">
        <f>Budget!F75</f>
        <v>212</v>
      </c>
      <c r="H79" s="28">
        <f>Budget!G75</f>
        <v>218</v>
      </c>
      <c r="I79" s="28">
        <f>Budget!H75</f>
        <v>225</v>
      </c>
      <c r="J79" s="1"/>
      <c r="K79" s="1"/>
    </row>
    <row r="80" spans="2:11" x14ac:dyDescent="0.35">
      <c r="B80" s="5" t="str">
        <f>Budget!A76</f>
        <v xml:space="preserve">Total Investment </v>
      </c>
      <c r="C80" s="6">
        <f>Budget!B76</f>
        <v>0</v>
      </c>
      <c r="D80" s="7">
        <f>Budget!C76</f>
        <v>0</v>
      </c>
      <c r="E80" s="15">
        <f>Budget!D76</f>
        <v>862.33333333333337</v>
      </c>
      <c r="F80" s="15">
        <f>Budget!E76</f>
        <v>888</v>
      </c>
      <c r="G80" s="15">
        <f>Budget!F76</f>
        <v>914</v>
      </c>
      <c r="H80" s="15">
        <f>Budget!G76</f>
        <v>942</v>
      </c>
      <c r="I80" s="15">
        <f>Budget!H76</f>
        <v>971</v>
      </c>
      <c r="J80" s="1"/>
      <c r="K80" s="1"/>
    </row>
    <row r="81" spans="2:11" x14ac:dyDescent="0.35">
      <c r="B81" s="7"/>
      <c r="C81" s="7"/>
      <c r="D81" s="7"/>
      <c r="E81" s="40"/>
      <c r="F81" s="40"/>
      <c r="G81" s="40"/>
      <c r="H81" s="40"/>
      <c r="I81" s="40"/>
      <c r="J81" s="1"/>
      <c r="K81" s="1"/>
    </row>
    <row r="82" spans="2:11" x14ac:dyDescent="0.35">
      <c r="B82" s="1"/>
      <c r="C82" s="1"/>
      <c r="D82" s="1"/>
      <c r="E82" s="4"/>
      <c r="F82" s="1"/>
      <c r="G82" s="1"/>
      <c r="H82" s="1"/>
      <c r="I82" s="1"/>
      <c r="J82" s="1"/>
      <c r="K82" s="1"/>
    </row>
    <row r="83" spans="2:11" ht="18.5" x14ac:dyDescent="0.45">
      <c r="B83" s="236" t="s">
        <v>75</v>
      </c>
      <c r="C83" s="236"/>
      <c r="D83" s="236"/>
      <c r="E83" s="236"/>
      <c r="F83" s="236"/>
      <c r="G83" s="236"/>
      <c r="H83" s="143"/>
      <c r="I83" s="143"/>
      <c r="J83" s="1"/>
      <c r="K83" s="1"/>
    </row>
    <row r="84" spans="2:11" ht="16" thickBot="1" x14ac:dyDescent="0.4">
      <c r="B84" s="33" t="s">
        <v>29</v>
      </c>
      <c r="C84" s="33"/>
      <c r="D84" s="34" t="s">
        <v>30</v>
      </c>
      <c r="E84" s="33" t="s">
        <v>31</v>
      </c>
      <c r="F84" s="33" t="s">
        <v>32</v>
      </c>
      <c r="G84" s="1"/>
      <c r="H84" s="1"/>
      <c r="I84" s="1"/>
      <c r="J84" s="1"/>
      <c r="K84" s="1"/>
    </row>
    <row r="85" spans="2:11" x14ac:dyDescent="0.35">
      <c r="B85" s="31" t="s">
        <v>33</v>
      </c>
      <c r="C85" s="31"/>
      <c r="D85" s="6"/>
      <c r="E85" s="7"/>
      <c r="F85" s="7"/>
      <c r="G85" s="1"/>
      <c r="H85" s="1"/>
      <c r="I85" s="1"/>
      <c r="J85" s="1"/>
      <c r="K85" s="1"/>
    </row>
    <row r="86" spans="2:11" x14ac:dyDescent="0.35">
      <c r="B86" s="7" t="s">
        <v>34</v>
      </c>
      <c r="C86" s="7"/>
      <c r="D86" s="50">
        <f>F13*D90</f>
        <v>420000.00000000006</v>
      </c>
      <c r="E86" s="51">
        <f>I7</f>
        <v>0.08</v>
      </c>
      <c r="F86" s="11">
        <f>E86*D86</f>
        <v>33600.000000000007</v>
      </c>
      <c r="G86" s="1"/>
      <c r="H86" s="1"/>
      <c r="I86" s="1"/>
      <c r="J86" s="1"/>
      <c r="K86" s="1"/>
    </row>
    <row r="87" spans="2:11" x14ac:dyDescent="0.35">
      <c r="B87" s="7" t="s">
        <v>35</v>
      </c>
      <c r="C87" s="7"/>
      <c r="D87" s="50">
        <f>F14*D90</f>
        <v>120000.00000000003</v>
      </c>
      <c r="E87" s="51">
        <f>I8</f>
        <v>0.06</v>
      </c>
      <c r="F87" s="11">
        <f>E87*D87</f>
        <v>7200.0000000000018</v>
      </c>
      <c r="G87" s="1"/>
      <c r="H87" s="1"/>
      <c r="I87" s="1"/>
      <c r="J87" s="1"/>
      <c r="K87" s="1"/>
    </row>
    <row r="88" spans="2:11" x14ac:dyDescent="0.35">
      <c r="B88" s="7" t="s">
        <v>36</v>
      </c>
      <c r="C88" s="7"/>
      <c r="D88" s="50">
        <f>F15*D90</f>
        <v>60000.000000000015</v>
      </c>
      <c r="E88" s="52">
        <f>I9</f>
        <v>0.04</v>
      </c>
      <c r="F88" s="13">
        <f>E88*D88</f>
        <v>2400.0000000000005</v>
      </c>
      <c r="G88" s="1"/>
      <c r="H88" s="1"/>
      <c r="I88" s="1"/>
      <c r="J88" s="1"/>
      <c r="K88" s="1"/>
    </row>
    <row r="89" spans="2:11" x14ac:dyDescent="0.35">
      <c r="B89" s="261"/>
      <c r="C89" s="261"/>
      <c r="D89" s="261"/>
      <c r="E89" s="261"/>
      <c r="F89" s="261"/>
      <c r="G89" s="261"/>
      <c r="H89" s="1"/>
      <c r="I89" s="1"/>
      <c r="J89" s="1"/>
      <c r="K89" s="1"/>
    </row>
    <row r="90" spans="2:11" x14ac:dyDescent="0.35">
      <c r="B90" s="5" t="s">
        <v>79</v>
      </c>
      <c r="C90" s="5"/>
      <c r="D90" s="50">
        <f>D93*F11</f>
        <v>600000.00000000012</v>
      </c>
      <c r="E90" s="51"/>
      <c r="F90" s="53">
        <f>SUM(F86:F88)</f>
        <v>43200.000000000007</v>
      </c>
      <c r="G90" s="1"/>
      <c r="H90" s="1"/>
      <c r="I90" s="1"/>
      <c r="J90" s="1"/>
      <c r="K90" s="1"/>
    </row>
    <row r="91" spans="2:11" x14ac:dyDescent="0.35">
      <c r="B91" s="261"/>
      <c r="C91" s="261"/>
      <c r="D91" s="261"/>
      <c r="E91" s="261"/>
      <c r="F91" s="261"/>
      <c r="G91" s="261"/>
      <c r="H91" s="1"/>
      <c r="I91" s="1"/>
      <c r="J91" s="1"/>
      <c r="K91" s="1"/>
    </row>
    <row r="92" spans="2:11" x14ac:dyDescent="0.35">
      <c r="B92" s="31" t="s">
        <v>14</v>
      </c>
      <c r="C92" s="31"/>
      <c r="D92" s="31"/>
      <c r="E92" s="50"/>
      <c r="F92" s="51"/>
      <c r="G92" s="11"/>
      <c r="H92" s="1"/>
      <c r="I92" s="1"/>
      <c r="J92" s="1"/>
      <c r="K92" s="1"/>
    </row>
    <row r="93" spans="2:11" x14ac:dyDescent="0.35">
      <c r="B93" s="7" t="s">
        <v>82</v>
      </c>
      <c r="C93" s="7"/>
      <c r="D93" s="50">
        <f>F5</f>
        <v>1000000</v>
      </c>
      <c r="E93" s="52">
        <f>I5</f>
        <v>6.0000000000000001E-3</v>
      </c>
      <c r="F93" s="11">
        <f>E93*D93</f>
        <v>6000</v>
      </c>
      <c r="G93" s="1"/>
      <c r="H93" s="1"/>
      <c r="I93" s="1"/>
      <c r="J93" s="1"/>
      <c r="K93" s="1"/>
    </row>
    <row r="94" spans="2:11" x14ac:dyDescent="0.35">
      <c r="B94" s="7" t="s">
        <v>83</v>
      </c>
      <c r="C94" s="7"/>
      <c r="D94" s="50">
        <f>F18+F17</f>
        <v>752</v>
      </c>
      <c r="E94" s="11">
        <f>D41</f>
        <v>2</v>
      </c>
      <c r="F94" s="11">
        <f>E94*D94</f>
        <v>1504</v>
      </c>
      <c r="G94" s="1"/>
      <c r="H94" s="1"/>
      <c r="I94" s="1"/>
      <c r="J94" s="1"/>
      <c r="K94" s="1"/>
    </row>
    <row r="95" spans="2:11" x14ac:dyDescent="0.35">
      <c r="B95" s="7" t="s">
        <v>84</v>
      </c>
      <c r="C95" s="7"/>
      <c r="D95" s="50">
        <f>C42</f>
        <v>205</v>
      </c>
      <c r="E95" s="51">
        <f>D42</f>
        <v>3.5</v>
      </c>
      <c r="F95" s="11">
        <f>ROUND(E95*D95,0)</f>
        <v>718</v>
      </c>
      <c r="G95" s="1"/>
      <c r="H95" s="1"/>
      <c r="I95" s="1"/>
      <c r="J95" s="1"/>
      <c r="K95" s="1"/>
    </row>
    <row r="96" spans="2:11" x14ac:dyDescent="0.35">
      <c r="B96" s="7" t="s">
        <v>85</v>
      </c>
      <c r="C96" s="7"/>
      <c r="D96" s="50">
        <f>C43</f>
        <v>205</v>
      </c>
      <c r="E96" s="51">
        <f>D43</f>
        <v>3.5</v>
      </c>
      <c r="F96" s="11">
        <f>ROUND(E96*D96,0)</f>
        <v>718</v>
      </c>
      <c r="G96" s="1"/>
      <c r="H96" s="1"/>
      <c r="I96" s="1"/>
      <c r="J96" s="1"/>
      <c r="K96" s="1"/>
    </row>
    <row r="97" spans="2:11" x14ac:dyDescent="0.35">
      <c r="B97" s="7" t="s">
        <v>109</v>
      </c>
      <c r="C97" s="7"/>
      <c r="D97" s="50"/>
      <c r="E97" s="4"/>
      <c r="F97" s="11">
        <f>D45</f>
        <v>2800</v>
      </c>
      <c r="G97" s="1"/>
      <c r="H97" s="1"/>
      <c r="I97" s="1"/>
      <c r="J97" s="1"/>
      <c r="K97" s="1"/>
    </row>
    <row r="98" spans="2:11" x14ac:dyDescent="0.35">
      <c r="B98" s="7" t="s">
        <v>86</v>
      </c>
      <c r="C98" s="7"/>
      <c r="D98" s="50">
        <f>C46</f>
        <v>662</v>
      </c>
      <c r="E98" s="51">
        <f>D46</f>
        <v>1.25</v>
      </c>
      <c r="F98" s="11">
        <f>ROUND(E98*D98,0)</f>
        <v>828</v>
      </c>
      <c r="G98" s="1"/>
      <c r="H98" s="1"/>
      <c r="I98" s="1"/>
      <c r="J98" s="1"/>
      <c r="K98" s="1"/>
    </row>
    <row r="99" spans="2:11" x14ac:dyDescent="0.35">
      <c r="B99" s="7" t="s">
        <v>87</v>
      </c>
      <c r="C99" s="7"/>
      <c r="D99" s="50">
        <f>C44</f>
        <v>1</v>
      </c>
      <c r="E99" s="11">
        <f>D44</f>
        <v>100</v>
      </c>
      <c r="F99" s="11">
        <f>D99*E99</f>
        <v>100</v>
      </c>
      <c r="G99" s="1"/>
      <c r="H99" s="1"/>
      <c r="I99" s="1"/>
      <c r="J99" s="1"/>
      <c r="K99" s="1"/>
    </row>
    <row r="100" spans="2:11" x14ac:dyDescent="0.35">
      <c r="B100" s="7" t="s">
        <v>105</v>
      </c>
      <c r="C100" s="7"/>
      <c r="D100" s="50"/>
      <c r="E100" s="11"/>
      <c r="F100" s="11">
        <f>D47</f>
        <v>4400</v>
      </c>
      <c r="G100" s="1"/>
      <c r="H100" s="1"/>
      <c r="I100" s="1"/>
      <c r="J100" s="1"/>
      <c r="K100" s="1"/>
    </row>
    <row r="101" spans="2:11" x14ac:dyDescent="0.35">
      <c r="B101" s="7" t="s">
        <v>80</v>
      </c>
      <c r="C101" s="7"/>
      <c r="D101" s="50"/>
      <c r="E101" s="51"/>
      <c r="F101" s="13">
        <f>D48</f>
        <v>250</v>
      </c>
      <c r="G101" s="1"/>
      <c r="H101" s="1"/>
      <c r="I101" s="1"/>
      <c r="J101" s="1"/>
      <c r="K101" s="1"/>
    </row>
    <row r="102" spans="2:11" x14ac:dyDescent="0.35">
      <c r="B102" s="5" t="s">
        <v>37</v>
      </c>
      <c r="C102" s="5"/>
      <c r="D102" s="5"/>
      <c r="E102" s="50"/>
      <c r="F102" s="11">
        <f>SUM(F93:F101)</f>
        <v>17318</v>
      </c>
      <c r="G102" s="53"/>
      <c r="H102" s="1"/>
      <c r="I102" s="1"/>
      <c r="J102" s="1"/>
      <c r="K102" s="1"/>
    </row>
    <row r="103" spans="2:11" x14ac:dyDescent="0.35">
      <c r="B103" s="261"/>
      <c r="C103" s="261"/>
      <c r="D103" s="261"/>
      <c r="E103" s="261"/>
      <c r="F103" s="261"/>
      <c r="G103" s="261"/>
      <c r="H103" s="1"/>
      <c r="I103" s="1"/>
      <c r="J103" s="1"/>
      <c r="K103" s="1"/>
    </row>
    <row r="104" spans="2:11" x14ac:dyDescent="0.35">
      <c r="B104" s="31" t="s">
        <v>38</v>
      </c>
      <c r="C104" s="31"/>
      <c r="D104" s="31"/>
      <c r="E104" s="50"/>
      <c r="F104" s="51"/>
      <c r="G104" s="11"/>
      <c r="H104" s="1"/>
      <c r="I104" s="1"/>
      <c r="J104" s="1"/>
      <c r="K104" s="1"/>
    </row>
    <row r="105" spans="2:11" x14ac:dyDescent="0.35">
      <c r="B105" s="123" t="s">
        <v>19</v>
      </c>
      <c r="C105" s="7"/>
      <c r="D105" s="7"/>
      <c r="E105" s="6"/>
      <c r="F105" s="7"/>
      <c r="G105" s="7"/>
      <c r="H105" s="1"/>
      <c r="I105" s="1"/>
      <c r="J105" s="1"/>
      <c r="K105" s="1"/>
    </row>
    <row r="106" spans="2:11" x14ac:dyDescent="0.35">
      <c r="B106" s="7" t="s">
        <v>114</v>
      </c>
      <c r="C106" s="7"/>
      <c r="D106" s="50">
        <f t="shared" ref="D106:E110" si="2">C50</f>
        <v>1</v>
      </c>
      <c r="E106" s="11">
        <f t="shared" si="2"/>
        <v>750</v>
      </c>
      <c r="F106" s="11">
        <f>E106*D106</f>
        <v>750</v>
      </c>
      <c r="G106" s="1"/>
      <c r="H106" s="1"/>
      <c r="I106" s="1"/>
      <c r="J106" s="1"/>
      <c r="K106" s="1"/>
    </row>
    <row r="107" spans="2:11" x14ac:dyDescent="0.35">
      <c r="B107" s="7" t="s">
        <v>115</v>
      </c>
      <c r="C107" s="7"/>
      <c r="D107" s="50">
        <f t="shared" si="2"/>
        <v>1</v>
      </c>
      <c r="E107" s="11">
        <f t="shared" si="2"/>
        <v>250</v>
      </c>
      <c r="F107" s="11">
        <f>D107*E107</f>
        <v>250</v>
      </c>
      <c r="G107" s="1"/>
      <c r="H107" s="1"/>
      <c r="I107" s="1"/>
      <c r="J107" s="1"/>
      <c r="K107" s="1"/>
    </row>
    <row r="108" spans="2:11" x14ac:dyDescent="0.35">
      <c r="B108" s="7" t="s">
        <v>81</v>
      </c>
      <c r="C108" s="7"/>
      <c r="D108" s="50">
        <f t="shared" si="2"/>
        <v>1</v>
      </c>
      <c r="E108" s="11">
        <f t="shared" si="2"/>
        <v>500</v>
      </c>
      <c r="F108" s="11">
        <f>E108*D108</f>
        <v>500</v>
      </c>
      <c r="G108" s="1"/>
      <c r="H108" s="1"/>
      <c r="I108" s="1"/>
      <c r="J108" s="1"/>
      <c r="K108" s="1"/>
    </row>
    <row r="109" spans="2:11" x14ac:dyDescent="0.35">
      <c r="B109" s="7" t="s">
        <v>112</v>
      </c>
      <c r="C109" s="7"/>
      <c r="D109" s="50">
        <f t="shared" si="2"/>
        <v>1</v>
      </c>
      <c r="E109" s="11">
        <f t="shared" si="2"/>
        <v>27</v>
      </c>
      <c r="F109" s="11">
        <f>D109*E109</f>
        <v>27</v>
      </c>
      <c r="G109" s="1"/>
      <c r="H109" s="1"/>
      <c r="I109" s="1"/>
      <c r="J109" s="1"/>
      <c r="K109" s="1"/>
    </row>
    <row r="110" spans="2:11" x14ac:dyDescent="0.35">
      <c r="B110" s="7" t="s">
        <v>113</v>
      </c>
      <c r="C110" s="7"/>
      <c r="D110" s="50">
        <f t="shared" si="2"/>
        <v>1</v>
      </c>
      <c r="E110" s="11">
        <f t="shared" si="2"/>
        <v>100</v>
      </c>
      <c r="F110" s="11">
        <f>E110*D110</f>
        <v>100</v>
      </c>
      <c r="G110" s="1"/>
      <c r="H110" s="1"/>
      <c r="I110" s="1"/>
      <c r="J110" s="1"/>
      <c r="K110" s="1"/>
    </row>
    <row r="111" spans="2:11" x14ac:dyDescent="0.35">
      <c r="B111" s="261"/>
      <c r="C111" s="261"/>
      <c r="D111" s="261"/>
      <c r="E111" s="261"/>
      <c r="F111" s="261"/>
      <c r="G111" s="261"/>
      <c r="H111" s="1"/>
      <c r="I111" s="1"/>
      <c r="J111" s="1"/>
      <c r="K111" s="1"/>
    </row>
    <row r="112" spans="2:11" x14ac:dyDescent="0.35">
      <c r="B112" s="7" t="s">
        <v>39</v>
      </c>
      <c r="C112" s="7"/>
      <c r="D112" s="7"/>
      <c r="E112" s="6"/>
      <c r="F112" s="11">
        <f>ROUND(AVERAGE(G29:K29),0)</f>
        <v>918</v>
      </c>
      <c r="G112" s="1"/>
      <c r="H112" s="1"/>
      <c r="I112" s="1"/>
      <c r="J112" s="1"/>
      <c r="K112" s="1"/>
    </row>
    <row r="113" spans="2:11" x14ac:dyDescent="0.35">
      <c r="B113" s="7" t="s">
        <v>40</v>
      </c>
      <c r="C113" s="7"/>
      <c r="D113" s="7"/>
      <c r="E113" s="6"/>
      <c r="F113" s="13">
        <f>AVERAGE(E80:I80)</f>
        <v>915.46666666666681</v>
      </c>
      <c r="G113" s="1"/>
      <c r="H113" s="1"/>
      <c r="I113" s="1"/>
      <c r="J113" s="1"/>
      <c r="K113" s="1"/>
    </row>
    <row r="114" spans="2:11" x14ac:dyDescent="0.35">
      <c r="B114" s="5" t="s">
        <v>41</v>
      </c>
      <c r="C114" s="5"/>
      <c r="D114" s="5"/>
      <c r="E114" s="6"/>
      <c r="F114" s="53">
        <f>SUM(F106:F113)</f>
        <v>3460.4666666666667</v>
      </c>
      <c r="G114" s="1"/>
      <c r="H114" s="1"/>
      <c r="I114" s="1"/>
      <c r="J114" s="1"/>
      <c r="K114" s="1"/>
    </row>
    <row r="115" spans="2:11" x14ac:dyDescent="0.35">
      <c r="B115" s="5"/>
      <c r="C115" s="5"/>
      <c r="D115" s="5"/>
      <c r="E115" s="6"/>
      <c r="F115" s="53"/>
      <c r="G115" s="1"/>
      <c r="H115" s="1"/>
      <c r="I115" s="1"/>
      <c r="J115" s="1"/>
      <c r="K115" s="1"/>
    </row>
    <row r="116" spans="2:11" x14ac:dyDescent="0.35">
      <c r="B116" s="31" t="s">
        <v>90</v>
      </c>
      <c r="C116" s="31"/>
      <c r="D116" s="31"/>
      <c r="E116" s="6"/>
      <c r="F116" s="53">
        <f>F114+F102</f>
        <v>20778.466666666667</v>
      </c>
      <c r="G116" s="1"/>
      <c r="H116" s="1"/>
      <c r="I116" s="1"/>
      <c r="J116" s="1"/>
      <c r="K116" s="1"/>
    </row>
    <row r="117" spans="2:11" x14ac:dyDescent="0.35">
      <c r="B117" s="31"/>
      <c r="C117" s="31"/>
      <c r="D117" s="31"/>
      <c r="E117" s="6"/>
      <c r="F117" s="11"/>
      <c r="G117" s="1"/>
      <c r="H117" s="1"/>
      <c r="I117" s="1"/>
      <c r="J117" s="1"/>
      <c r="K117" s="1"/>
    </row>
    <row r="118" spans="2:11" x14ac:dyDescent="0.35">
      <c r="B118" s="31" t="s">
        <v>122</v>
      </c>
      <c r="C118" s="31"/>
      <c r="D118" s="31"/>
      <c r="E118" s="6"/>
      <c r="F118" s="11"/>
      <c r="G118" s="1"/>
      <c r="H118" s="1"/>
      <c r="I118" s="1"/>
      <c r="J118" s="1"/>
      <c r="K118" s="1"/>
    </row>
    <row r="119" spans="2:11" x14ac:dyDescent="0.35">
      <c r="B119" s="123" t="s">
        <v>123</v>
      </c>
      <c r="C119" s="31"/>
      <c r="D119" s="31"/>
      <c r="E119" s="6"/>
      <c r="F119" s="11"/>
      <c r="G119" s="1"/>
      <c r="H119" s="1"/>
      <c r="I119" s="1"/>
      <c r="J119" s="1"/>
      <c r="K119" s="1"/>
    </row>
    <row r="120" spans="2:11" x14ac:dyDescent="0.35">
      <c r="B120" s="5" t="s">
        <v>119</v>
      </c>
      <c r="C120" s="31"/>
      <c r="D120" s="31"/>
      <c r="E120" s="6"/>
      <c r="F120" s="11">
        <f>F90-(F116-F113)</f>
        <v>23337.000000000007</v>
      </c>
      <c r="G120" s="1"/>
      <c r="H120" s="1"/>
      <c r="I120" s="1"/>
      <c r="J120" s="1"/>
      <c r="K120" s="1"/>
    </row>
    <row r="121" spans="2:11" x14ac:dyDescent="0.35">
      <c r="B121" s="5" t="s">
        <v>120</v>
      </c>
      <c r="C121" s="31"/>
      <c r="D121" s="31"/>
      <c r="E121" s="6"/>
      <c r="F121" s="157">
        <f>(F116-F113)/D90</f>
        <v>3.3104999999999996E-2</v>
      </c>
      <c r="G121" s="1"/>
      <c r="H121" s="1"/>
      <c r="I121" s="1"/>
      <c r="J121" s="1"/>
      <c r="K121" s="1"/>
    </row>
    <row r="122" spans="2:11" x14ac:dyDescent="0.35">
      <c r="B122" s="5" t="s">
        <v>121</v>
      </c>
      <c r="C122" s="31"/>
      <c r="D122" s="31"/>
      <c r="E122" s="6"/>
      <c r="F122" s="55">
        <f>((F116-F113)/(E86*(D86/D90)+E87*(D87/D90)+E88*(D88/D90)))/D93</f>
        <v>0.27587499999999998</v>
      </c>
      <c r="G122" s="1"/>
      <c r="H122" s="1"/>
      <c r="I122" s="1"/>
      <c r="J122" s="1"/>
      <c r="K122" s="1"/>
    </row>
    <row r="123" spans="2:11" x14ac:dyDescent="0.35">
      <c r="B123" s="5"/>
      <c r="C123" s="31"/>
      <c r="D123" s="31"/>
      <c r="E123" s="6"/>
      <c r="F123" s="55"/>
      <c r="G123" s="1"/>
      <c r="H123" s="1"/>
      <c r="I123" s="1"/>
      <c r="J123" s="1"/>
      <c r="K123" s="1"/>
    </row>
    <row r="124" spans="2:11" x14ac:dyDescent="0.35">
      <c r="B124" s="158" t="s">
        <v>90</v>
      </c>
      <c r="C124" s="156"/>
      <c r="D124" s="156"/>
      <c r="E124" s="156"/>
      <c r="F124" s="156"/>
      <c r="G124" s="156"/>
      <c r="H124" s="1"/>
      <c r="I124" s="1"/>
      <c r="J124" s="1"/>
      <c r="K124" s="1"/>
    </row>
    <row r="125" spans="2:11" x14ac:dyDescent="0.35">
      <c r="B125" s="5" t="s">
        <v>42</v>
      </c>
      <c r="C125" s="5"/>
      <c r="D125" s="5"/>
      <c r="E125" s="6"/>
      <c r="F125" s="11">
        <f>F90-F116</f>
        <v>22421.53333333334</v>
      </c>
      <c r="G125" s="1"/>
      <c r="H125" s="1"/>
      <c r="I125" s="1"/>
      <c r="J125" s="1"/>
      <c r="K125" s="1"/>
    </row>
    <row r="126" spans="2:11" x14ac:dyDescent="0.35">
      <c r="B126" s="5" t="s">
        <v>43</v>
      </c>
      <c r="C126" s="5"/>
      <c r="D126" s="5"/>
      <c r="E126" s="6"/>
      <c r="F126" s="54">
        <f>F116/D90</f>
        <v>3.4630777777777774E-2</v>
      </c>
      <c r="G126" s="1"/>
      <c r="H126" s="1"/>
      <c r="I126" s="1"/>
      <c r="J126" s="1"/>
      <c r="K126" s="1"/>
    </row>
    <row r="127" spans="2:11" x14ac:dyDescent="0.35">
      <c r="B127" s="5" t="s">
        <v>44</v>
      </c>
      <c r="C127" s="5"/>
      <c r="D127" s="5"/>
      <c r="E127" s="6"/>
      <c r="F127" s="55">
        <f>(F116/(E86*(D86/D90)+E87*(D87/D90)+E88*(D88/D90)))/D93</f>
        <v>0.28858981481481483</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OrEqual" allowBlank="1" showInputMessage="1" showErrorMessage="1" sqref="F15">
      <formula1>0</formula1>
    </dataValidation>
    <dataValidation type="whole" allowBlank="1" showInputMessage="1" showErrorMessage="1" sqref="E25:E28">
      <formula1>0</formula1>
      <formula2>1</formula2>
    </dataValidation>
    <dataValidation type="whole" operator="greaterThan" allowBlank="1" showInputMessage="1" showErrorMessage="1" sqref="C22:C28 D24:D28 E24 F53:I54 E50:E54 F5 E40:E41 F47:I47 E43:E48 D75:D79 C73:C79">
      <formula1>0</formula1>
    </dataValidation>
    <dataValidation type="decimal" operator="greaterThan" allowBlank="1" showInputMessage="1" showErrorMessage="1" sqref="I7:I9 I5 F6:F7 F9:F11 F13:F14">
      <formula1>0</formula1>
    </dataValidation>
  </dataValidations>
  <pageMargins left="0.75" right="0.75" top="1" bottom="1" header="0.5" footer="0.5"/>
  <pageSetup orientation="portrait" horizontalDpi="4294967292" verticalDpi="4294967292"/>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27"/>
  <sheetViews>
    <sheetView topLeftCell="A50" workbookViewId="0">
      <selection activeCell="B72" sqref="B72:I80"/>
    </sheetView>
  </sheetViews>
  <sheetFormatPr defaultColWidth="11" defaultRowHeight="15.5" x14ac:dyDescent="0.35"/>
  <sheetData>
    <row r="3" spans="2:11" ht="16" thickBot="1" x14ac:dyDescent="0.4">
      <c r="B3" s="1"/>
      <c r="C3" s="1"/>
      <c r="D3" s="1"/>
      <c r="E3" s="66"/>
      <c r="F3" s="37"/>
      <c r="G3" s="7"/>
      <c r="H3" s="1"/>
      <c r="I3" s="1"/>
      <c r="J3" s="1"/>
      <c r="K3" s="1"/>
    </row>
    <row r="4" spans="2:11" x14ac:dyDescent="0.35">
      <c r="B4" s="1"/>
      <c r="C4" s="1"/>
      <c r="D4" s="18" t="s">
        <v>51</v>
      </c>
      <c r="E4" s="117"/>
      <c r="F4" s="19" t="s">
        <v>50</v>
      </c>
      <c r="G4" s="1"/>
      <c r="H4" s="18" t="s">
        <v>53</v>
      </c>
      <c r="I4" s="19" t="s">
        <v>54</v>
      </c>
      <c r="J4" s="1"/>
      <c r="K4" s="1"/>
    </row>
    <row r="5" spans="2:11" x14ac:dyDescent="0.35">
      <c r="B5" s="1"/>
      <c r="C5" s="1"/>
      <c r="D5" s="239" t="s">
        <v>73</v>
      </c>
      <c r="E5" s="240"/>
      <c r="F5" s="56">
        <f>Budget!E5</f>
        <v>1000000</v>
      </c>
      <c r="G5" s="1"/>
      <c r="H5" s="22" t="s">
        <v>46</v>
      </c>
      <c r="I5" s="62">
        <f>Budget!H5</f>
        <v>6.0000000000000001E-3</v>
      </c>
      <c r="J5" s="1"/>
      <c r="K5" s="1"/>
    </row>
    <row r="6" spans="2:11" x14ac:dyDescent="0.35">
      <c r="B6" s="1"/>
      <c r="C6" s="1"/>
      <c r="D6" s="247" t="s">
        <v>60</v>
      </c>
      <c r="E6" s="248"/>
      <c r="F6" s="57">
        <f>Budget!E6</f>
        <v>10000</v>
      </c>
      <c r="G6" s="1"/>
      <c r="H6" s="43" t="s">
        <v>47</v>
      </c>
      <c r="I6" s="21">
        <f>Budget!H6</f>
        <v>0</v>
      </c>
      <c r="J6" s="1"/>
      <c r="K6" s="1"/>
    </row>
    <row r="7" spans="2:11" x14ac:dyDescent="0.35">
      <c r="B7" s="1"/>
      <c r="C7" s="1"/>
      <c r="D7" s="239" t="s">
        <v>55</v>
      </c>
      <c r="E7" s="240"/>
      <c r="F7" s="82">
        <f>Budget!E7</f>
        <v>1150</v>
      </c>
      <c r="G7" s="1"/>
      <c r="H7" s="20" t="s">
        <v>67</v>
      </c>
      <c r="I7" s="45">
        <f>'Cash Cost Sensitivities (2)'!A11</f>
        <v>7.0000000000000007E-2</v>
      </c>
      <c r="J7" s="1"/>
      <c r="K7" s="1"/>
    </row>
    <row r="8" spans="2:11" x14ac:dyDescent="0.35">
      <c r="B8" s="1"/>
      <c r="C8" s="1"/>
      <c r="D8" s="239" t="s">
        <v>56</v>
      </c>
      <c r="E8" s="240"/>
      <c r="F8" s="59"/>
      <c r="G8" s="1"/>
      <c r="H8" s="20" t="s">
        <v>62</v>
      </c>
      <c r="I8" s="45">
        <f>'Cash Cost Sensitivities (2)'!B11</f>
        <v>0.05</v>
      </c>
      <c r="J8" s="1"/>
      <c r="K8" s="1"/>
    </row>
    <row r="9" spans="2:11" ht="16" thickBot="1" x14ac:dyDescent="0.4">
      <c r="B9" s="1"/>
      <c r="C9" s="1"/>
      <c r="D9" s="237" t="s">
        <v>57</v>
      </c>
      <c r="E9" s="238"/>
      <c r="F9" s="60">
        <f>Budget!E9</f>
        <v>0.75</v>
      </c>
      <c r="G9" s="1"/>
      <c r="H9" s="44" t="s">
        <v>63</v>
      </c>
      <c r="I9" s="46">
        <f>'Cash Cost Sensitivities (2)'!C11</f>
        <v>3.5000000000000003E-2</v>
      </c>
      <c r="J9" s="1"/>
      <c r="K9" s="1"/>
    </row>
    <row r="10" spans="2:11" x14ac:dyDescent="0.35">
      <c r="B10" s="1"/>
      <c r="C10" s="1"/>
      <c r="D10" s="237" t="s">
        <v>58</v>
      </c>
      <c r="E10" s="238"/>
      <c r="F10" s="60">
        <f>Budget!E10</f>
        <v>0.8</v>
      </c>
      <c r="G10" s="1"/>
      <c r="H10" s="17"/>
      <c r="I10" s="1"/>
      <c r="J10" s="1"/>
      <c r="K10" s="1"/>
    </row>
    <row r="11" spans="2:11" x14ac:dyDescent="0.35">
      <c r="B11" s="1"/>
      <c r="C11" s="1"/>
      <c r="D11" s="237" t="s">
        <v>59</v>
      </c>
      <c r="E11" s="238"/>
      <c r="F11" s="132">
        <f>F9*F10</f>
        <v>0.60000000000000009</v>
      </c>
      <c r="G11" s="1"/>
      <c r="H11" s="138"/>
      <c r="I11" s="139"/>
      <c r="J11" s="1"/>
      <c r="K11" s="1"/>
    </row>
    <row r="12" spans="2:11" x14ac:dyDescent="0.35">
      <c r="B12" s="1"/>
      <c r="C12" s="1"/>
      <c r="D12" s="239" t="s">
        <v>52</v>
      </c>
      <c r="E12" s="240"/>
      <c r="F12" s="241"/>
      <c r="G12" s="1"/>
      <c r="H12" s="1"/>
      <c r="I12" s="1"/>
      <c r="J12" s="1"/>
      <c r="K12" s="1"/>
    </row>
    <row r="13" spans="2:11" x14ac:dyDescent="0.35">
      <c r="B13" s="1"/>
      <c r="C13" s="1"/>
      <c r="D13" s="237" t="s">
        <v>61</v>
      </c>
      <c r="E13" s="238"/>
      <c r="F13" s="60">
        <f>Budget!E13</f>
        <v>0.7</v>
      </c>
      <c r="G13" s="1"/>
      <c r="H13" s="1"/>
      <c r="I13" s="1"/>
      <c r="J13" s="1"/>
      <c r="K13" s="1"/>
    </row>
    <row r="14" spans="2:11" x14ac:dyDescent="0.35">
      <c r="B14" s="1"/>
      <c r="C14" s="1"/>
      <c r="D14" s="237" t="s">
        <v>62</v>
      </c>
      <c r="E14" s="238"/>
      <c r="F14" s="60">
        <f>Budget!E14</f>
        <v>0.2</v>
      </c>
      <c r="G14" s="1"/>
      <c r="H14" s="1"/>
      <c r="I14" s="1"/>
      <c r="J14" s="1"/>
      <c r="K14" s="1"/>
    </row>
    <row r="15" spans="2:11" x14ac:dyDescent="0.35">
      <c r="B15" s="1"/>
      <c r="C15" s="1"/>
      <c r="D15" s="237" t="s">
        <v>63</v>
      </c>
      <c r="E15" s="238"/>
      <c r="F15" s="105">
        <f>Budget!E15</f>
        <v>0.1</v>
      </c>
      <c r="G15" s="1"/>
      <c r="H15" s="1"/>
      <c r="I15" s="1"/>
      <c r="J15" s="1"/>
      <c r="K15" s="1"/>
    </row>
    <row r="16" spans="2:11" x14ac:dyDescent="0.35">
      <c r="B16" s="7"/>
      <c r="C16" s="7"/>
      <c r="D16" s="242" t="s">
        <v>103</v>
      </c>
      <c r="E16" s="243"/>
      <c r="F16" s="103"/>
      <c r="G16" s="1"/>
      <c r="H16" s="1"/>
      <c r="I16" s="1"/>
      <c r="J16" s="1"/>
      <c r="K16" s="1"/>
    </row>
    <row r="17" spans="2:11" x14ac:dyDescent="0.35">
      <c r="B17" s="1"/>
      <c r="C17" s="1"/>
      <c r="D17" s="250" t="s">
        <v>57</v>
      </c>
      <c r="E17" s="251"/>
      <c r="F17" s="106">
        <f>ROUND(F5/F6,0)</f>
        <v>100</v>
      </c>
      <c r="G17" s="1"/>
      <c r="H17" s="1"/>
      <c r="I17" s="1"/>
      <c r="J17" s="1"/>
      <c r="K17" s="1"/>
    </row>
    <row r="18" spans="2:11" ht="16" thickBot="1" x14ac:dyDescent="0.4">
      <c r="B18" s="2"/>
      <c r="C18" s="2"/>
      <c r="D18" s="252" t="s">
        <v>102</v>
      </c>
      <c r="E18" s="253"/>
      <c r="F18" s="104">
        <f>ROUND(F5*F9/F7,0)</f>
        <v>652</v>
      </c>
      <c r="G18" s="1"/>
      <c r="H18" s="1"/>
      <c r="I18" s="1"/>
      <c r="J18" s="1"/>
      <c r="K18" s="1"/>
    </row>
    <row r="19" spans="2:11" x14ac:dyDescent="0.35">
      <c r="B19" s="2"/>
      <c r="C19" s="2"/>
      <c r="D19" s="2"/>
      <c r="E19" s="14"/>
      <c r="F19" s="2"/>
      <c r="G19" s="1"/>
      <c r="H19" s="1"/>
      <c r="I19" s="1"/>
      <c r="J19" s="1"/>
      <c r="K19" s="1"/>
    </row>
    <row r="20" spans="2:11" ht="18.5" x14ac:dyDescent="0.45">
      <c r="B20" s="236" t="s">
        <v>12</v>
      </c>
      <c r="C20" s="236"/>
      <c r="D20" s="236"/>
      <c r="E20" s="236"/>
      <c r="F20" s="236"/>
      <c r="G20" s="236"/>
      <c r="H20" s="236"/>
      <c r="I20" s="236"/>
      <c r="J20" s="236"/>
      <c r="K20" s="236"/>
    </row>
    <row r="21" spans="2:11" ht="16" thickBot="1" x14ac:dyDescent="0.4">
      <c r="B21" s="23" t="s">
        <v>0</v>
      </c>
      <c r="C21" s="34" t="s">
        <v>1</v>
      </c>
      <c r="D21" s="33" t="s">
        <v>2</v>
      </c>
      <c r="E21" s="33" t="s">
        <v>72</v>
      </c>
      <c r="F21" s="33" t="s">
        <v>117</v>
      </c>
      <c r="G21" s="33" t="s">
        <v>3</v>
      </c>
      <c r="H21" s="33" t="s">
        <v>4</v>
      </c>
      <c r="I21" s="33" t="s">
        <v>5</v>
      </c>
      <c r="J21" s="33" t="s">
        <v>6</v>
      </c>
      <c r="K21" s="33" t="s">
        <v>7</v>
      </c>
    </row>
    <row r="22" spans="2:11" x14ac:dyDescent="0.35">
      <c r="B22" s="25" t="s">
        <v>8</v>
      </c>
      <c r="C22" s="68">
        <f>Budget!B22</f>
        <v>7</v>
      </c>
      <c r="D22" s="140">
        <f>Budget!C22</f>
        <v>4</v>
      </c>
      <c r="E22" s="146">
        <f>Budget!D22</f>
        <v>25</v>
      </c>
      <c r="F22" s="149">
        <f>Budget!E22</f>
        <v>175</v>
      </c>
      <c r="G22" s="149">
        <f>Budget!F22</f>
        <v>175</v>
      </c>
      <c r="H22" s="149">
        <f>Budget!G22</f>
        <v>180</v>
      </c>
      <c r="I22" s="149">
        <f>Budget!H22</f>
        <v>186</v>
      </c>
      <c r="J22" s="149">
        <f>Budget!I22</f>
        <v>191</v>
      </c>
      <c r="K22" s="149">
        <f>Budget!J22</f>
        <v>197</v>
      </c>
    </row>
    <row r="23" spans="2:11" x14ac:dyDescent="0.35">
      <c r="B23" s="16" t="s">
        <v>9</v>
      </c>
      <c r="C23" s="67">
        <f>Budget!B23</f>
        <v>6.2</v>
      </c>
      <c r="D23" s="141">
        <f>Budget!C23</f>
        <v>10</v>
      </c>
      <c r="E23" s="181">
        <f>Budget!D23</f>
        <v>65</v>
      </c>
      <c r="F23" s="150">
        <f>Budget!E23</f>
        <v>404</v>
      </c>
      <c r="G23" s="150">
        <f>Budget!F23</f>
        <v>403</v>
      </c>
      <c r="H23" s="150">
        <f>Budget!G23</f>
        <v>415</v>
      </c>
      <c r="I23" s="150">
        <f>Budget!H23</f>
        <v>428</v>
      </c>
      <c r="J23" s="150">
        <f>Budget!I23</f>
        <v>440</v>
      </c>
      <c r="K23" s="150">
        <f>Budget!J23</f>
        <v>454</v>
      </c>
    </row>
    <row r="24" spans="2:11" x14ac:dyDescent="0.35">
      <c r="B24" s="16" t="s">
        <v>10</v>
      </c>
      <c r="C24" s="67">
        <f>Budget!B24</f>
        <v>250</v>
      </c>
      <c r="D24" s="141">
        <f>Budget!C24</f>
        <v>3</v>
      </c>
      <c r="E24" s="182">
        <f>Budget!D24</f>
        <v>1</v>
      </c>
      <c r="F24" s="151">
        <f>Budget!E24</f>
        <v>0</v>
      </c>
      <c r="G24" s="150">
        <f>Budget!F24</f>
        <v>250</v>
      </c>
      <c r="H24" s="150">
        <f>Budget!G24</f>
        <v>0</v>
      </c>
      <c r="I24" s="150">
        <f>Budget!H24</f>
        <v>0</v>
      </c>
      <c r="J24" s="150">
        <f>Budget!I24</f>
        <v>273</v>
      </c>
      <c r="K24" s="150">
        <f>Budget!J24</f>
        <v>0</v>
      </c>
    </row>
    <row r="25" spans="2:11" x14ac:dyDescent="0.35">
      <c r="B25" s="16" t="s">
        <v>11</v>
      </c>
      <c r="C25" s="67">
        <f>Budget!B25</f>
        <v>18000</v>
      </c>
      <c r="D25" s="141">
        <f>Budget!C25</f>
        <v>7</v>
      </c>
      <c r="E25" s="141">
        <f>Budget!D25</f>
        <v>0</v>
      </c>
      <c r="F25" s="152">
        <f>Budget!E25</f>
        <v>0</v>
      </c>
      <c r="G25" s="150">
        <f>Budget!F25</f>
        <v>0</v>
      </c>
      <c r="H25" s="150">
        <f>Budget!G25</f>
        <v>0</v>
      </c>
      <c r="I25" s="150">
        <f>Budget!H25</f>
        <v>0</v>
      </c>
      <c r="J25" s="150">
        <f>Budget!I25</f>
        <v>0</v>
      </c>
      <c r="K25" s="150">
        <f>Budget!J25</f>
        <v>0</v>
      </c>
    </row>
    <row r="26" spans="2:11" x14ac:dyDescent="0.35">
      <c r="B26" s="16" t="s">
        <v>69</v>
      </c>
      <c r="C26" s="67">
        <f>Budget!B26</f>
        <v>28000</v>
      </c>
      <c r="D26" s="141">
        <f>Budget!C26</f>
        <v>10</v>
      </c>
      <c r="E26" s="141">
        <f>Budget!D26</f>
        <v>0</v>
      </c>
      <c r="F26" s="152">
        <f>Budget!E26</f>
        <v>0</v>
      </c>
      <c r="G26" s="150">
        <f>Budget!F26</f>
        <v>0</v>
      </c>
      <c r="H26" s="150">
        <f>Budget!G26</f>
        <v>0</v>
      </c>
      <c r="I26" s="150">
        <f>Budget!H26</f>
        <v>0</v>
      </c>
      <c r="J26" s="150">
        <f>Budget!I26</f>
        <v>0</v>
      </c>
      <c r="K26" s="150">
        <f>Budget!J26</f>
        <v>0</v>
      </c>
    </row>
    <row r="27" spans="2:11" x14ac:dyDescent="0.35">
      <c r="B27" s="16" t="s">
        <v>70</v>
      </c>
      <c r="C27" s="67">
        <f>Budget!B27</f>
        <v>10000</v>
      </c>
      <c r="D27" s="141">
        <f>Budget!C27</f>
        <v>3</v>
      </c>
      <c r="E27" s="141">
        <f>Budget!D27</f>
        <v>0</v>
      </c>
      <c r="F27" s="152">
        <f>Budget!E27</f>
        <v>0</v>
      </c>
      <c r="G27" s="150">
        <f>Budget!F27</f>
        <v>0</v>
      </c>
      <c r="H27" s="150">
        <f>Budget!G27</f>
        <v>0</v>
      </c>
      <c r="I27" s="150">
        <f>Budget!H27</f>
        <v>0</v>
      </c>
      <c r="J27" s="150">
        <f>Budget!I27</f>
        <v>0</v>
      </c>
      <c r="K27" s="150">
        <f>Budget!J27</f>
        <v>0</v>
      </c>
    </row>
    <row r="28" spans="2:11" ht="44" thickBot="1" x14ac:dyDescent="0.4">
      <c r="B28" s="98" t="s">
        <v>71</v>
      </c>
      <c r="C28" s="69">
        <f>Budget!B28</f>
        <v>1000</v>
      </c>
      <c r="D28" s="142">
        <f>Budget!C28</f>
        <v>5</v>
      </c>
      <c r="E28" s="142">
        <f>Budget!D28</f>
        <v>1</v>
      </c>
      <c r="F28" s="153">
        <f>Budget!E28</f>
        <v>0</v>
      </c>
      <c r="G28" s="154">
        <f>Budget!F28</f>
        <v>1000</v>
      </c>
      <c r="H28" s="154">
        <f>Budget!G28</f>
        <v>0</v>
      </c>
      <c r="I28" s="154">
        <f>Budget!H28</f>
        <v>0</v>
      </c>
      <c r="J28" s="154">
        <f>Budget!I28</f>
        <v>0</v>
      </c>
      <c r="K28" s="154">
        <f>Budget!J28</f>
        <v>0</v>
      </c>
    </row>
    <row r="29" spans="2:11" x14ac:dyDescent="0.35">
      <c r="B29" s="5" t="s">
        <v>45</v>
      </c>
      <c r="C29" s="6"/>
      <c r="D29" s="7"/>
      <c r="E29" s="7"/>
      <c r="F29" s="15"/>
      <c r="G29" s="15">
        <f>SUM(G22:G28)</f>
        <v>1828</v>
      </c>
      <c r="H29" s="15">
        <f>SUM(H22:H28)</f>
        <v>595</v>
      </c>
      <c r="I29" s="15">
        <f>SUM(I22:I28)</f>
        <v>614</v>
      </c>
      <c r="J29" s="15">
        <f>SUM(J22:J28)</f>
        <v>904</v>
      </c>
      <c r="K29" s="15">
        <f>SUM(K22:K28)</f>
        <v>651</v>
      </c>
    </row>
    <row r="30" spans="2:11" x14ac:dyDescent="0.35">
      <c r="B30" s="1"/>
      <c r="C30" s="1"/>
      <c r="D30" s="1"/>
      <c r="E30" s="4"/>
      <c r="F30" s="1"/>
      <c r="G30" s="1"/>
      <c r="H30" s="1"/>
      <c r="I30" s="1"/>
      <c r="J30" s="1"/>
      <c r="K30" s="1"/>
    </row>
    <row r="31" spans="2:11" x14ac:dyDescent="0.35">
      <c r="B31" s="107"/>
      <c r="C31" s="107"/>
      <c r="D31" s="107"/>
      <c r="E31" s="4"/>
      <c r="F31" s="1"/>
      <c r="G31" s="1"/>
      <c r="H31" s="1"/>
      <c r="I31" s="1"/>
      <c r="J31" s="1"/>
      <c r="K31" s="1"/>
    </row>
    <row r="32" spans="2:11" x14ac:dyDescent="0.35">
      <c r="B32" s="107"/>
      <c r="C32" s="107"/>
      <c r="D32" s="107"/>
      <c r="E32" s="4"/>
      <c r="F32" s="1"/>
      <c r="G32" s="1"/>
      <c r="H32" s="1"/>
      <c r="I32" s="1"/>
      <c r="J32" s="1"/>
      <c r="K32" s="1"/>
    </row>
    <row r="33" spans="2:11" x14ac:dyDescent="0.35">
      <c r="B33" s="107"/>
      <c r="C33" s="107"/>
      <c r="D33" s="107"/>
      <c r="E33" s="4"/>
      <c r="F33" s="1"/>
      <c r="G33" s="1"/>
      <c r="H33" s="1"/>
      <c r="I33" s="1"/>
      <c r="J33" s="1"/>
      <c r="K33" s="1"/>
    </row>
    <row r="34" spans="2:11" x14ac:dyDescent="0.35">
      <c r="B34" s="107"/>
      <c r="C34" s="107"/>
      <c r="D34" s="107"/>
      <c r="E34" s="4"/>
      <c r="F34" s="1"/>
      <c r="G34" s="1"/>
      <c r="H34" s="1"/>
      <c r="I34" s="1"/>
      <c r="J34" s="1"/>
      <c r="K34" s="1"/>
    </row>
    <row r="35" spans="2:11" x14ac:dyDescent="0.35">
      <c r="B35" s="107"/>
      <c r="C35" s="107"/>
      <c r="D35" s="107"/>
      <c r="E35" s="4"/>
      <c r="F35" s="1"/>
      <c r="G35" s="1"/>
      <c r="H35" s="1"/>
      <c r="I35" s="1"/>
      <c r="J35" s="1"/>
      <c r="K35" s="1"/>
    </row>
    <row r="36" spans="2:11" x14ac:dyDescent="0.35">
      <c r="B36" s="107"/>
      <c r="C36" s="107"/>
      <c r="D36" s="107"/>
      <c r="E36" s="4"/>
      <c r="F36" s="1"/>
      <c r="G36" s="1"/>
      <c r="H36" s="1"/>
      <c r="I36" s="1"/>
      <c r="J36" s="1"/>
      <c r="K36" s="1"/>
    </row>
    <row r="37" spans="2:11" ht="18.5" x14ac:dyDescent="0.45">
      <c r="B37" s="236" t="s">
        <v>14</v>
      </c>
      <c r="C37" s="236"/>
      <c r="D37" s="236"/>
      <c r="E37" s="236"/>
      <c r="F37" s="236"/>
      <c r="G37" s="236"/>
      <c r="H37" s="236"/>
      <c r="I37" s="236"/>
      <c r="J37" s="1"/>
      <c r="K37" s="1"/>
    </row>
    <row r="38" spans="2:11" ht="44" thickBot="1" x14ac:dyDescent="0.4">
      <c r="B38" s="33" t="s">
        <v>13</v>
      </c>
      <c r="C38" s="23" t="s">
        <v>107</v>
      </c>
      <c r="D38" s="122" t="s">
        <v>110</v>
      </c>
      <c r="E38" s="34" t="s">
        <v>3</v>
      </c>
      <c r="F38" s="33" t="s">
        <v>4</v>
      </c>
      <c r="G38" s="33" t="s">
        <v>5</v>
      </c>
      <c r="H38" s="33" t="s">
        <v>6</v>
      </c>
      <c r="I38" s="33" t="s">
        <v>7</v>
      </c>
      <c r="J38" s="1"/>
      <c r="K38" s="1"/>
    </row>
    <row r="39" spans="2:11" x14ac:dyDescent="0.35">
      <c r="B39" s="41" t="s">
        <v>14</v>
      </c>
      <c r="C39" s="1"/>
      <c r="D39" s="1"/>
      <c r="E39" s="32"/>
      <c r="F39" s="9"/>
      <c r="G39" s="9"/>
      <c r="H39" s="9"/>
      <c r="I39" s="102"/>
      <c r="J39" s="1"/>
      <c r="K39" s="1"/>
    </row>
    <row r="40" spans="2:11" x14ac:dyDescent="0.35">
      <c r="B40" s="25" t="s">
        <v>15</v>
      </c>
      <c r="C40" s="115">
        <f>F5</f>
        <v>1000000</v>
      </c>
      <c r="D40" s="118">
        <f>I5</f>
        <v>6.0000000000000001E-3</v>
      </c>
      <c r="E40" s="119">
        <f>C40*D40</f>
        <v>6000</v>
      </c>
      <c r="F40" s="30">
        <v>6000</v>
      </c>
      <c r="G40" s="30">
        <v>6000</v>
      </c>
      <c r="H40" s="30">
        <v>6000</v>
      </c>
      <c r="I40" s="30">
        <v>6000</v>
      </c>
      <c r="J40" s="12"/>
      <c r="K40" s="12"/>
    </row>
    <row r="41" spans="2:11" x14ac:dyDescent="0.35">
      <c r="B41" s="16" t="s">
        <v>108</v>
      </c>
      <c r="C41" s="116">
        <f>F17+F18</f>
        <v>752</v>
      </c>
      <c r="D41" s="67">
        <f>Budget!C35</f>
        <v>2</v>
      </c>
      <c r="E41" s="125">
        <f>C41*D41</f>
        <v>1504</v>
      </c>
      <c r="F41" s="29">
        <f>ROUND(E41+E41*0.03,0)</f>
        <v>1549</v>
      </c>
      <c r="G41" s="29">
        <f>ROUND(F41+F41*0.03,0)</f>
        <v>1595</v>
      </c>
      <c r="H41" s="29">
        <f t="shared" ref="H41:I52" si="0">ROUND(G41+G41*0.03,0)</f>
        <v>1643</v>
      </c>
      <c r="I41" s="29">
        <f t="shared" si="0"/>
        <v>1692</v>
      </c>
      <c r="J41" s="1"/>
      <c r="K41" s="1"/>
    </row>
    <row r="42" spans="2:11" x14ac:dyDescent="0.35">
      <c r="B42" s="16" t="s">
        <v>16</v>
      </c>
      <c r="C42" s="131">
        <f>Budget!B36</f>
        <v>205</v>
      </c>
      <c r="D42" s="67">
        <f>Budget!C36</f>
        <v>3.5</v>
      </c>
      <c r="E42" s="125">
        <f>C42*D42</f>
        <v>717.5</v>
      </c>
      <c r="F42" s="29">
        <f t="shared" ref="F42:G48" si="1">ROUND(E42+E42*0.03,0)</f>
        <v>739</v>
      </c>
      <c r="G42" s="29">
        <f t="shared" si="1"/>
        <v>761</v>
      </c>
      <c r="H42" s="29">
        <f t="shared" si="0"/>
        <v>784</v>
      </c>
      <c r="I42" s="29">
        <f t="shared" si="0"/>
        <v>808</v>
      </c>
      <c r="J42" s="1"/>
      <c r="K42" s="1"/>
    </row>
    <row r="43" spans="2:11" x14ac:dyDescent="0.35">
      <c r="B43" s="16" t="s">
        <v>17</v>
      </c>
      <c r="C43" s="131">
        <f>Budget!B37</f>
        <v>205</v>
      </c>
      <c r="D43" s="67">
        <f>Budget!C37</f>
        <v>3.5</v>
      </c>
      <c r="E43" s="125">
        <f>C43*D43</f>
        <v>717.5</v>
      </c>
      <c r="F43" s="29">
        <f t="shared" si="1"/>
        <v>739</v>
      </c>
      <c r="G43" s="29">
        <f t="shared" si="1"/>
        <v>761</v>
      </c>
      <c r="H43" s="29">
        <f t="shared" si="0"/>
        <v>784</v>
      </c>
      <c r="I43" s="29">
        <f t="shared" si="0"/>
        <v>808</v>
      </c>
      <c r="J43" s="1"/>
      <c r="K43" s="1"/>
    </row>
    <row r="44" spans="2:11" x14ac:dyDescent="0.35">
      <c r="B44" s="16" t="s">
        <v>18</v>
      </c>
      <c r="C44" s="164">
        <f>Budget!B38</f>
        <v>1</v>
      </c>
      <c r="D44" s="67">
        <f>Budget!C38</f>
        <v>100</v>
      </c>
      <c r="E44" s="125">
        <f>C44*D44</f>
        <v>100</v>
      </c>
      <c r="F44" s="29">
        <f t="shared" si="1"/>
        <v>103</v>
      </c>
      <c r="G44" s="29">
        <f t="shared" si="1"/>
        <v>106</v>
      </c>
      <c r="H44" s="29">
        <f t="shared" si="0"/>
        <v>109</v>
      </c>
      <c r="I44" s="29">
        <f t="shared" si="0"/>
        <v>112</v>
      </c>
      <c r="J44" s="1"/>
      <c r="K44" s="1"/>
    </row>
    <row r="45" spans="2:11" x14ac:dyDescent="0.35">
      <c r="B45" s="16" t="s">
        <v>77</v>
      </c>
      <c r="C45" s="121"/>
      <c r="D45" s="67">
        <f>Budget!C39</f>
        <v>2800</v>
      </c>
      <c r="E45" s="125">
        <f>D45</f>
        <v>2800</v>
      </c>
      <c r="F45" s="29">
        <f t="shared" si="1"/>
        <v>2884</v>
      </c>
      <c r="G45" s="29">
        <f t="shared" si="1"/>
        <v>2971</v>
      </c>
      <c r="H45" s="29">
        <f t="shared" si="0"/>
        <v>3060</v>
      </c>
      <c r="I45" s="29">
        <f t="shared" si="0"/>
        <v>3152</v>
      </c>
      <c r="J45" s="1"/>
      <c r="K45" s="1"/>
    </row>
    <row r="46" spans="2:11" x14ac:dyDescent="0.35">
      <c r="B46" s="16" t="s">
        <v>78</v>
      </c>
      <c r="C46" s="120">
        <f>ROUND(0.75*F17+0.9*F18,0)</f>
        <v>662</v>
      </c>
      <c r="D46" s="67">
        <f>Budget!C40</f>
        <v>1.25</v>
      </c>
      <c r="E46" s="125">
        <f>C46*D46</f>
        <v>827.5</v>
      </c>
      <c r="F46" s="29">
        <f t="shared" si="1"/>
        <v>852</v>
      </c>
      <c r="G46" s="29">
        <f t="shared" si="1"/>
        <v>878</v>
      </c>
      <c r="H46" s="29">
        <f t="shared" si="0"/>
        <v>904</v>
      </c>
      <c r="I46" s="29">
        <f t="shared" si="0"/>
        <v>931</v>
      </c>
      <c r="J46" s="1"/>
      <c r="K46" s="1"/>
    </row>
    <row r="47" spans="2:11" x14ac:dyDescent="0.35">
      <c r="B47" s="16" t="s">
        <v>111</v>
      </c>
      <c r="C47" s="120"/>
      <c r="D47" s="67">
        <f>Budget!C41</f>
        <v>4400</v>
      </c>
      <c r="E47" s="125">
        <f>D47</f>
        <v>4400</v>
      </c>
      <c r="F47" s="119">
        <f t="shared" si="1"/>
        <v>4532</v>
      </c>
      <c r="G47" s="119">
        <f t="shared" si="1"/>
        <v>4668</v>
      </c>
      <c r="H47" s="119">
        <f t="shared" si="0"/>
        <v>4808</v>
      </c>
      <c r="I47" s="119">
        <f t="shared" si="0"/>
        <v>4952</v>
      </c>
      <c r="J47" s="1"/>
      <c r="K47" s="1"/>
    </row>
    <row r="48" spans="2:11" x14ac:dyDescent="0.35">
      <c r="B48" s="16" t="s">
        <v>66</v>
      </c>
      <c r="C48" s="120"/>
      <c r="D48" s="67">
        <f>Budget!C42</f>
        <v>250</v>
      </c>
      <c r="E48" s="125">
        <f>D48</f>
        <v>250</v>
      </c>
      <c r="F48" s="29">
        <f t="shared" si="1"/>
        <v>258</v>
      </c>
      <c r="G48" s="29">
        <f t="shared" si="1"/>
        <v>266</v>
      </c>
      <c r="H48" s="29">
        <f t="shared" si="0"/>
        <v>274</v>
      </c>
      <c r="I48" s="29">
        <f t="shared" si="0"/>
        <v>282</v>
      </c>
      <c r="J48" s="1"/>
      <c r="K48" s="1"/>
    </row>
    <row r="49" spans="2:11" x14ac:dyDescent="0.35">
      <c r="B49" s="42" t="s">
        <v>68</v>
      </c>
      <c r="C49" s="114"/>
      <c r="D49" s="114"/>
      <c r="E49" s="126"/>
      <c r="F49" s="35"/>
      <c r="G49" s="35"/>
      <c r="H49" s="35"/>
      <c r="I49" s="36"/>
      <c r="J49" s="12"/>
      <c r="K49" s="12"/>
    </row>
    <row r="50" spans="2:11" x14ac:dyDescent="0.35">
      <c r="B50" s="16" t="s">
        <v>48</v>
      </c>
      <c r="C50" s="47">
        <f>Budget!B44</f>
        <v>1</v>
      </c>
      <c r="D50" s="47">
        <f>Budget!C44</f>
        <v>750</v>
      </c>
      <c r="E50" s="127">
        <v>750</v>
      </c>
      <c r="F50" s="29">
        <f>ROUND(E50+E50*0.03,0)</f>
        <v>773</v>
      </c>
      <c r="G50" s="29">
        <f>ROUND(F50+F50*0.03,0)</f>
        <v>796</v>
      </c>
      <c r="H50" s="29">
        <f t="shared" si="0"/>
        <v>820</v>
      </c>
      <c r="I50" s="29">
        <f t="shared" si="0"/>
        <v>845</v>
      </c>
      <c r="J50" s="1"/>
      <c r="K50" s="1"/>
    </row>
    <row r="51" spans="2:11" x14ac:dyDescent="0.35">
      <c r="B51" s="16" t="s">
        <v>49</v>
      </c>
      <c r="C51" s="47">
        <f>Budget!B45</f>
        <v>1</v>
      </c>
      <c r="D51" s="47">
        <f>Budget!C45</f>
        <v>250</v>
      </c>
      <c r="E51" s="127">
        <v>250</v>
      </c>
      <c r="F51" s="29">
        <v>250</v>
      </c>
      <c r="G51" s="29">
        <v>250</v>
      </c>
      <c r="H51" s="29">
        <v>250</v>
      </c>
      <c r="I51" s="29">
        <v>250</v>
      </c>
      <c r="J51" s="1"/>
      <c r="K51" s="1"/>
    </row>
    <row r="52" spans="2:11" x14ac:dyDescent="0.35">
      <c r="B52" s="16" t="s">
        <v>20</v>
      </c>
      <c r="C52" s="47">
        <f>Budget!B46</f>
        <v>1</v>
      </c>
      <c r="D52" s="47">
        <f>Budget!C46</f>
        <v>500</v>
      </c>
      <c r="E52" s="127">
        <v>500</v>
      </c>
      <c r="F52" s="29">
        <f>ROUND(E52+E52*0.03,0)</f>
        <v>515</v>
      </c>
      <c r="G52" s="29">
        <f>ROUND(F52+F52*0.03,0)</f>
        <v>530</v>
      </c>
      <c r="H52" s="29">
        <f t="shared" si="0"/>
        <v>546</v>
      </c>
      <c r="I52" s="29">
        <f t="shared" si="0"/>
        <v>562</v>
      </c>
      <c r="J52" s="1"/>
      <c r="K52" s="1"/>
    </row>
    <row r="53" spans="2:11" x14ac:dyDescent="0.35">
      <c r="B53" s="108" t="s">
        <v>104</v>
      </c>
      <c r="C53" s="130">
        <f>Budget!B47</f>
        <v>1</v>
      </c>
      <c r="D53" s="130">
        <f>Budget!C47</f>
        <v>27</v>
      </c>
      <c r="E53" s="128">
        <v>27</v>
      </c>
      <c r="F53" s="109">
        <v>27</v>
      </c>
      <c r="G53" s="109">
        <v>27</v>
      </c>
      <c r="H53" s="109">
        <v>27</v>
      </c>
      <c r="I53" s="109">
        <v>27</v>
      </c>
      <c r="J53" s="1"/>
      <c r="K53" s="1"/>
    </row>
    <row r="54" spans="2:11" ht="16" thickBot="1" x14ac:dyDescent="0.4">
      <c r="B54" s="27" t="s">
        <v>21</v>
      </c>
      <c r="C54" s="48">
        <f>Budget!B48</f>
        <v>1</v>
      </c>
      <c r="D54" s="48">
        <f>Budget!C48</f>
        <v>100</v>
      </c>
      <c r="E54" s="129">
        <v>100</v>
      </c>
      <c r="F54" s="110">
        <v>100</v>
      </c>
      <c r="G54" s="110">
        <v>100</v>
      </c>
      <c r="H54" s="110">
        <v>100</v>
      </c>
      <c r="I54" s="110">
        <v>100</v>
      </c>
      <c r="J54" s="1"/>
      <c r="K54" s="1"/>
    </row>
    <row r="55" spans="2:11" x14ac:dyDescent="0.35">
      <c r="B55" s="3" t="s">
        <v>22</v>
      </c>
      <c r="C55" s="3"/>
      <c r="D55" s="3"/>
      <c r="E55" s="10">
        <f>SUM(E40:E54)</f>
        <v>18943.5</v>
      </c>
      <c r="F55" s="10">
        <f>SUM(F40:F54)</f>
        <v>19321</v>
      </c>
      <c r="G55" s="10">
        <f>SUM(G40:G54)</f>
        <v>19709</v>
      </c>
      <c r="H55" s="10">
        <f>SUM(H40:H54)</f>
        <v>20109</v>
      </c>
      <c r="I55" s="10">
        <f>SUM(I40:I54)</f>
        <v>20521</v>
      </c>
      <c r="J55" s="1"/>
      <c r="K55" s="1"/>
    </row>
    <row r="56" spans="2:11" x14ac:dyDescent="0.35">
      <c r="B56" s="3"/>
      <c r="C56" s="3"/>
      <c r="D56" s="3"/>
      <c r="E56" s="10"/>
      <c r="F56" s="10"/>
      <c r="G56" s="10"/>
      <c r="H56" s="10"/>
      <c r="I56" s="10"/>
      <c r="J56" s="1"/>
      <c r="K56" s="1"/>
    </row>
    <row r="57" spans="2:11" x14ac:dyDescent="0.35">
      <c r="B57" s="3"/>
      <c r="C57" s="3"/>
      <c r="D57" s="3"/>
      <c r="E57" s="10"/>
      <c r="F57" s="10"/>
      <c r="G57" s="10"/>
      <c r="H57" s="10"/>
      <c r="I57" s="10"/>
      <c r="J57" s="1"/>
      <c r="K57" s="1"/>
    </row>
    <row r="58" spans="2:11" x14ac:dyDescent="0.35">
      <c r="B58" s="1"/>
      <c r="C58" s="1"/>
      <c r="D58" s="1"/>
      <c r="E58" s="8"/>
      <c r="F58" s="8"/>
      <c r="G58" s="8"/>
      <c r="H58" s="8"/>
      <c r="I58" s="8"/>
      <c r="J58" s="1"/>
      <c r="K58" s="1"/>
    </row>
    <row r="59" spans="2:11" ht="18.5" x14ac:dyDescent="0.45">
      <c r="B59" s="236" t="s">
        <v>76</v>
      </c>
      <c r="C59" s="236"/>
      <c r="D59" s="236"/>
      <c r="E59" s="236"/>
      <c r="F59" s="236"/>
      <c r="G59" s="236"/>
      <c r="H59" s="236"/>
      <c r="I59" s="236"/>
      <c r="J59" s="1"/>
      <c r="K59" s="1"/>
    </row>
    <row r="60" spans="2:11" ht="16" thickBot="1" x14ac:dyDescent="0.4">
      <c r="B60" s="37"/>
      <c r="C60" s="34" t="s">
        <v>3</v>
      </c>
      <c r="D60" s="33" t="s">
        <v>4</v>
      </c>
      <c r="E60" s="33" t="s">
        <v>5</v>
      </c>
      <c r="F60" s="33" t="s">
        <v>6</v>
      </c>
      <c r="G60" s="33" t="s">
        <v>7</v>
      </c>
      <c r="H60" s="1"/>
      <c r="I60" s="1"/>
      <c r="J60" s="1"/>
      <c r="K60" s="1"/>
    </row>
    <row r="61" spans="2:11" x14ac:dyDescent="0.35">
      <c r="B61" s="25" t="s">
        <v>23</v>
      </c>
      <c r="C61" s="155">
        <f>Budget!$B$56</f>
        <v>0</v>
      </c>
      <c r="D61" s="39">
        <f>C68</f>
        <v>16728.500000000007</v>
      </c>
      <c r="E61" s="39">
        <f>D68</f>
        <v>34312.500000000015</v>
      </c>
      <c r="F61" s="39">
        <f>E68</f>
        <v>51489.500000000022</v>
      </c>
      <c r="G61" s="39">
        <f>F68</f>
        <v>67976.500000000029</v>
      </c>
      <c r="H61" s="1"/>
      <c r="I61" s="1"/>
      <c r="J61" s="1"/>
      <c r="K61" s="1"/>
    </row>
    <row r="62" spans="2:11" x14ac:dyDescent="0.35">
      <c r="B62" s="16" t="s">
        <v>24</v>
      </c>
      <c r="C62" s="38">
        <f>F90</f>
        <v>37500.000000000007</v>
      </c>
      <c r="D62" s="38">
        <f>F90</f>
        <v>37500.000000000007</v>
      </c>
      <c r="E62" s="38">
        <f>F90</f>
        <v>37500.000000000007</v>
      </c>
      <c r="F62" s="38">
        <f>F90</f>
        <v>37500.000000000007</v>
      </c>
      <c r="G62" s="38">
        <f>F90</f>
        <v>37500.000000000007</v>
      </c>
      <c r="H62" s="1"/>
      <c r="I62" s="1"/>
      <c r="J62" s="1"/>
      <c r="K62" s="1"/>
    </row>
    <row r="63" spans="2:11" x14ac:dyDescent="0.35">
      <c r="B63" s="16" t="s">
        <v>25</v>
      </c>
      <c r="C63" s="38"/>
      <c r="D63" s="38"/>
      <c r="E63" s="38"/>
      <c r="F63" s="38"/>
      <c r="G63" s="38"/>
      <c r="H63" s="1"/>
      <c r="I63" s="1"/>
      <c r="J63" s="1"/>
      <c r="K63" s="1"/>
    </row>
    <row r="64" spans="2:11" x14ac:dyDescent="0.35">
      <c r="B64" s="16" t="s">
        <v>64</v>
      </c>
      <c r="C64" s="38">
        <f>E55</f>
        <v>18943.5</v>
      </c>
      <c r="D64" s="38">
        <f>F55</f>
        <v>19321</v>
      </c>
      <c r="E64" s="38">
        <f>G55</f>
        <v>19709</v>
      </c>
      <c r="F64" s="38">
        <f>H55</f>
        <v>20109</v>
      </c>
      <c r="G64" s="38">
        <f>I55</f>
        <v>20521</v>
      </c>
      <c r="H64" s="1"/>
      <c r="I64" s="1"/>
      <c r="J64" s="1"/>
      <c r="K64" s="1"/>
    </row>
    <row r="65" spans="2:11" x14ac:dyDescent="0.35">
      <c r="B65" s="16" t="s">
        <v>65</v>
      </c>
      <c r="C65" s="38">
        <f>G29</f>
        <v>1828</v>
      </c>
      <c r="D65" s="38">
        <f>H29</f>
        <v>595</v>
      </c>
      <c r="E65" s="38">
        <f>I29</f>
        <v>614</v>
      </c>
      <c r="F65" s="38">
        <f>J29</f>
        <v>904</v>
      </c>
      <c r="G65" s="38">
        <f>K29</f>
        <v>651</v>
      </c>
      <c r="H65" s="1"/>
      <c r="I65" s="1"/>
      <c r="J65" s="1"/>
      <c r="K65" s="1"/>
    </row>
    <row r="66" spans="2:11" x14ac:dyDescent="0.35">
      <c r="B66" s="16" t="s">
        <v>28</v>
      </c>
      <c r="C66" s="38">
        <f>C64+C65</f>
        <v>20771.5</v>
      </c>
      <c r="D66" s="38">
        <f>D64+D65</f>
        <v>19916</v>
      </c>
      <c r="E66" s="38">
        <f>E64+E65</f>
        <v>20323</v>
      </c>
      <c r="F66" s="38">
        <f>F64+F65</f>
        <v>21013</v>
      </c>
      <c r="G66" s="38">
        <f>G64+G65</f>
        <v>21172</v>
      </c>
      <c r="H66" s="1"/>
      <c r="I66" s="1"/>
      <c r="J66" s="1"/>
      <c r="K66" s="1"/>
    </row>
    <row r="67" spans="2:11" x14ac:dyDescent="0.35">
      <c r="B67" s="16" t="s">
        <v>26</v>
      </c>
      <c r="C67" s="38">
        <f>C62-C66</f>
        <v>16728.500000000007</v>
      </c>
      <c r="D67" s="38">
        <f>D62-D66</f>
        <v>17584.000000000007</v>
      </c>
      <c r="E67" s="38">
        <f>E62-E66</f>
        <v>17177.000000000007</v>
      </c>
      <c r="F67" s="38">
        <f>F62-F66</f>
        <v>16487.000000000007</v>
      </c>
      <c r="G67" s="38">
        <f>G62-G66</f>
        <v>16328.000000000007</v>
      </c>
      <c r="H67" s="1"/>
      <c r="I67" s="1"/>
      <c r="J67" s="1"/>
      <c r="K67" s="1"/>
    </row>
    <row r="68" spans="2:11" x14ac:dyDescent="0.35">
      <c r="B68" s="16" t="s">
        <v>27</v>
      </c>
      <c r="C68" s="38">
        <f>C61+C67</f>
        <v>16728.500000000007</v>
      </c>
      <c r="D68" s="38">
        <f>D61+D67</f>
        <v>34312.500000000015</v>
      </c>
      <c r="E68" s="38">
        <f>E61+E67</f>
        <v>51489.500000000022</v>
      </c>
      <c r="F68" s="38">
        <f>F61+F67</f>
        <v>67976.500000000029</v>
      </c>
      <c r="G68" s="38">
        <f>G61+G67</f>
        <v>84304.500000000029</v>
      </c>
      <c r="H68" s="1"/>
      <c r="I68" s="1"/>
      <c r="J68" s="1"/>
      <c r="K68" s="1"/>
    </row>
    <row r="69" spans="2:11" x14ac:dyDescent="0.35">
      <c r="B69" s="7"/>
      <c r="C69" s="7"/>
      <c r="D69" s="7"/>
      <c r="E69" s="40"/>
      <c r="F69" s="40"/>
      <c r="G69" s="40"/>
      <c r="H69" s="40"/>
      <c r="I69" s="40"/>
      <c r="J69" s="1"/>
      <c r="K69" s="1"/>
    </row>
    <row r="70" spans="2:11" ht="21.5" x14ac:dyDescent="0.75">
      <c r="B70" s="107"/>
      <c r="C70" s="107"/>
      <c r="D70" s="107"/>
      <c r="E70" s="244" t="s">
        <v>118</v>
      </c>
      <c r="F70" s="244"/>
      <c r="G70" s="1"/>
      <c r="H70" s="1"/>
      <c r="I70" s="1"/>
      <c r="J70" s="1"/>
      <c r="K70" s="1"/>
    </row>
    <row r="71" spans="2:11" x14ac:dyDescent="0.35">
      <c r="B71" s="107"/>
      <c r="C71" s="107"/>
      <c r="D71" s="107"/>
      <c r="E71" s="145"/>
      <c r="F71" s="145"/>
      <c r="G71" s="1"/>
      <c r="H71" s="1"/>
      <c r="I71" s="1"/>
      <c r="J71" s="1"/>
      <c r="K71" s="1"/>
    </row>
    <row r="72" spans="2:11" ht="16" thickBot="1" x14ac:dyDescent="0.4">
      <c r="B72" s="23" t="str">
        <f>Budget!A68</f>
        <v>Capital Item</v>
      </c>
      <c r="C72" s="34" t="str">
        <f>Budget!B68</f>
        <v>Unit Cost</v>
      </c>
      <c r="D72" s="33" t="str">
        <f>Budget!C68</f>
        <v>Years of Life</v>
      </c>
      <c r="E72" s="33" t="str">
        <f>Budget!D68</f>
        <v>Year 1</v>
      </c>
      <c r="F72" s="33" t="str">
        <f>Budget!E68</f>
        <v>Year 2</v>
      </c>
      <c r="G72" s="33" t="str">
        <f>Budget!F68</f>
        <v>Year 3</v>
      </c>
      <c r="H72" s="33" t="str">
        <f>Budget!G68</f>
        <v>Year 4</v>
      </c>
      <c r="I72" s="33" t="str">
        <f>Budget!H68</f>
        <v>Year 5</v>
      </c>
      <c r="J72" s="1"/>
      <c r="K72" s="1"/>
    </row>
    <row r="73" spans="2:11" x14ac:dyDescent="0.35">
      <c r="B73" s="25" t="str">
        <f>Budget!A69</f>
        <v>Nursery Bag</v>
      </c>
      <c r="C73" s="144">
        <f>Budget!B69</f>
        <v>7</v>
      </c>
      <c r="D73" s="140">
        <f>Budget!C69</f>
        <v>4</v>
      </c>
      <c r="E73" s="26">
        <f>Budget!D69</f>
        <v>175</v>
      </c>
      <c r="F73" s="26">
        <f>Budget!E69</f>
        <v>180</v>
      </c>
      <c r="G73" s="26">
        <f>Budget!F69</f>
        <v>185</v>
      </c>
      <c r="H73" s="26">
        <f>Budget!G69</f>
        <v>191</v>
      </c>
      <c r="I73" s="26">
        <f>Budget!H69</f>
        <v>197</v>
      </c>
      <c r="J73" s="1"/>
      <c r="K73" s="1"/>
    </row>
    <row r="74" spans="2:11" x14ac:dyDescent="0.35">
      <c r="B74" s="16" t="str">
        <f>Budget!A70</f>
        <v>Growout Bag</v>
      </c>
      <c r="C74" s="144">
        <f>Budget!B70</f>
        <v>6.2</v>
      </c>
      <c r="D74" s="141">
        <f>Budget!C70</f>
        <v>10</v>
      </c>
      <c r="E74" s="26">
        <f>Budget!D70</f>
        <v>404</v>
      </c>
      <c r="F74" s="26">
        <f>Budget!E70</f>
        <v>416</v>
      </c>
      <c r="G74" s="26">
        <f>Budget!F70</f>
        <v>428</v>
      </c>
      <c r="H74" s="26">
        <f>Budget!G70</f>
        <v>441</v>
      </c>
      <c r="I74" s="26">
        <f>Budget!H70</f>
        <v>454</v>
      </c>
      <c r="J74" s="1"/>
      <c r="K74" s="1"/>
    </row>
    <row r="75" spans="2:11" x14ac:dyDescent="0.35">
      <c r="B75" s="16" t="str">
        <f>Budget!A71</f>
        <v>Wet Suit</v>
      </c>
      <c r="C75" s="144">
        <f>Budget!B71</f>
        <v>250</v>
      </c>
      <c r="D75" s="141">
        <f>Budget!C71</f>
        <v>3</v>
      </c>
      <c r="E75" s="24">
        <f>Budget!D71</f>
        <v>83.333333333333329</v>
      </c>
      <c r="F75" s="24">
        <f>Budget!E71</f>
        <v>86</v>
      </c>
      <c r="G75" s="24">
        <f>Budget!F71</f>
        <v>89</v>
      </c>
      <c r="H75" s="24">
        <f>Budget!G71</f>
        <v>92</v>
      </c>
      <c r="I75" s="24">
        <f>Budget!H71</f>
        <v>95</v>
      </c>
      <c r="J75" s="1"/>
      <c r="K75" s="1"/>
    </row>
    <row r="76" spans="2:11" x14ac:dyDescent="0.35">
      <c r="B76" s="16" t="str">
        <f>Budget!A72</f>
        <v>Boat</v>
      </c>
      <c r="C76" s="144">
        <f>Budget!B72</f>
        <v>18000</v>
      </c>
      <c r="D76" s="141">
        <f>Budget!C72</f>
        <v>7</v>
      </c>
      <c r="E76" s="24">
        <f>Budget!D72</f>
        <v>0</v>
      </c>
      <c r="F76" s="24">
        <f>Budget!E72</f>
        <v>0</v>
      </c>
      <c r="G76" s="24">
        <f>Budget!F72</f>
        <v>0</v>
      </c>
      <c r="H76" s="24">
        <f>Budget!G72</f>
        <v>0</v>
      </c>
      <c r="I76" s="24">
        <f>Budget!H72</f>
        <v>0</v>
      </c>
      <c r="J76" s="1"/>
      <c r="K76" s="1"/>
    </row>
    <row r="77" spans="2:11" x14ac:dyDescent="0.35">
      <c r="B77" s="16" t="str">
        <f>Budget!A73</f>
        <v>Truck</v>
      </c>
      <c r="C77" s="144">
        <f>Budget!B73</f>
        <v>28000</v>
      </c>
      <c r="D77" s="141">
        <f>Budget!C73</f>
        <v>10</v>
      </c>
      <c r="E77" s="24">
        <f>Budget!D73</f>
        <v>0</v>
      </c>
      <c r="F77" s="24">
        <f>Budget!E73</f>
        <v>0</v>
      </c>
      <c r="G77" s="24">
        <f>Budget!F73</f>
        <v>0</v>
      </c>
      <c r="H77" s="24">
        <f>Budget!G73</f>
        <v>0</v>
      </c>
      <c r="I77" s="24">
        <f>Budget!H73</f>
        <v>0</v>
      </c>
      <c r="J77" s="1"/>
      <c r="K77" s="1"/>
    </row>
    <row r="78" spans="2:11" x14ac:dyDescent="0.35">
      <c r="B78" s="16" t="str">
        <f>Budget!A74</f>
        <v>Motor</v>
      </c>
      <c r="C78" s="144">
        <f>Budget!B74</f>
        <v>10000</v>
      </c>
      <c r="D78" s="141">
        <f>Budget!C74</f>
        <v>3</v>
      </c>
      <c r="E78" s="24">
        <f>Budget!D74</f>
        <v>0</v>
      </c>
      <c r="F78" s="24">
        <f>Budget!E74</f>
        <v>0</v>
      </c>
      <c r="G78" s="24">
        <f>Budget!F74</f>
        <v>0</v>
      </c>
      <c r="H78" s="24">
        <f>Budget!G74</f>
        <v>0</v>
      </c>
      <c r="I78" s="24">
        <f>Budget!H74</f>
        <v>0</v>
      </c>
      <c r="J78" s="1"/>
      <c r="K78" s="1"/>
    </row>
    <row r="79" spans="2:11" ht="44" thickBot="1" x14ac:dyDescent="0.4">
      <c r="B79" s="98" t="str">
        <f>Budget!A75</f>
        <v>Winch/Davit/Boom/Pulley/Batteries</v>
      </c>
      <c r="C79" s="129">
        <f>Budget!B75</f>
        <v>1000</v>
      </c>
      <c r="D79" s="142">
        <f>Budget!C75</f>
        <v>5</v>
      </c>
      <c r="E79" s="28">
        <f>Budget!D75</f>
        <v>200</v>
      </c>
      <c r="F79" s="28">
        <f>Budget!E75</f>
        <v>206</v>
      </c>
      <c r="G79" s="28">
        <f>Budget!F75</f>
        <v>212</v>
      </c>
      <c r="H79" s="28">
        <f>Budget!G75</f>
        <v>218</v>
      </c>
      <c r="I79" s="28">
        <f>Budget!H75</f>
        <v>225</v>
      </c>
      <c r="J79" s="1"/>
      <c r="K79" s="1"/>
    </row>
    <row r="80" spans="2:11" x14ac:dyDescent="0.35">
      <c r="B80" s="5" t="str">
        <f>Budget!A76</f>
        <v xml:space="preserve">Total Investment </v>
      </c>
      <c r="C80" s="6">
        <f>Budget!B76</f>
        <v>0</v>
      </c>
      <c r="D80" s="7">
        <f>Budget!C76</f>
        <v>0</v>
      </c>
      <c r="E80" s="15">
        <f>Budget!D76</f>
        <v>862.33333333333337</v>
      </c>
      <c r="F80" s="15">
        <f>Budget!E76</f>
        <v>888</v>
      </c>
      <c r="G80" s="15">
        <f>Budget!F76</f>
        <v>914</v>
      </c>
      <c r="H80" s="15">
        <f>Budget!G76</f>
        <v>942</v>
      </c>
      <c r="I80" s="15">
        <f>Budget!H76</f>
        <v>971</v>
      </c>
      <c r="J80" s="1"/>
      <c r="K80" s="1"/>
    </row>
    <row r="81" spans="2:11" x14ac:dyDescent="0.35">
      <c r="B81" s="7"/>
      <c r="C81" s="7"/>
      <c r="D81" s="7"/>
      <c r="E81" s="40"/>
      <c r="F81" s="40"/>
      <c r="G81" s="40"/>
      <c r="H81" s="40"/>
      <c r="I81" s="40"/>
      <c r="J81" s="1"/>
      <c r="K81" s="1"/>
    </row>
    <row r="82" spans="2:11" x14ac:dyDescent="0.35">
      <c r="B82" s="1"/>
      <c r="C82" s="1"/>
      <c r="D82" s="1"/>
      <c r="E82" s="4"/>
      <c r="F82" s="1"/>
      <c r="G82" s="1"/>
      <c r="H82" s="1"/>
      <c r="I82" s="1"/>
      <c r="J82" s="1"/>
      <c r="K82" s="1"/>
    </row>
    <row r="83" spans="2:11" ht="18.5" x14ac:dyDescent="0.45">
      <c r="B83" s="236" t="s">
        <v>75</v>
      </c>
      <c r="C83" s="236"/>
      <c r="D83" s="236"/>
      <c r="E83" s="236"/>
      <c r="F83" s="236"/>
      <c r="G83" s="236"/>
      <c r="H83" s="143"/>
      <c r="I83" s="143"/>
      <c r="J83" s="1"/>
      <c r="K83" s="1"/>
    </row>
    <row r="84" spans="2:11" ht="16" thickBot="1" x14ac:dyDescent="0.4">
      <c r="B84" s="33" t="s">
        <v>29</v>
      </c>
      <c r="C84" s="33"/>
      <c r="D84" s="34" t="s">
        <v>30</v>
      </c>
      <c r="E84" s="33" t="s">
        <v>31</v>
      </c>
      <c r="F84" s="33" t="s">
        <v>32</v>
      </c>
      <c r="G84" s="1"/>
      <c r="H84" s="1"/>
      <c r="I84" s="1"/>
      <c r="J84" s="1"/>
      <c r="K84" s="1"/>
    </row>
    <row r="85" spans="2:11" x14ac:dyDescent="0.35">
      <c r="B85" s="31" t="s">
        <v>33</v>
      </c>
      <c r="C85" s="31"/>
      <c r="D85" s="6"/>
      <c r="E85" s="7"/>
      <c r="F85" s="7"/>
      <c r="G85" s="1"/>
      <c r="H85" s="1"/>
      <c r="I85" s="1"/>
      <c r="J85" s="1"/>
      <c r="K85" s="1"/>
    </row>
    <row r="86" spans="2:11" x14ac:dyDescent="0.35">
      <c r="B86" s="7" t="s">
        <v>34</v>
      </c>
      <c r="C86" s="7"/>
      <c r="D86" s="50">
        <f>F13*D90</f>
        <v>420000.00000000006</v>
      </c>
      <c r="E86" s="51">
        <f>I7</f>
        <v>7.0000000000000007E-2</v>
      </c>
      <c r="F86" s="11">
        <f>E86*D86</f>
        <v>29400.000000000007</v>
      </c>
      <c r="G86" s="1"/>
      <c r="H86" s="1"/>
      <c r="I86" s="1"/>
      <c r="J86" s="1"/>
      <c r="K86" s="1"/>
    </row>
    <row r="87" spans="2:11" x14ac:dyDescent="0.35">
      <c r="B87" s="7" t="s">
        <v>35</v>
      </c>
      <c r="C87" s="7"/>
      <c r="D87" s="50">
        <f>F14*D90</f>
        <v>120000.00000000003</v>
      </c>
      <c r="E87" s="51">
        <f>I8</f>
        <v>0.05</v>
      </c>
      <c r="F87" s="11">
        <f>E87*D87</f>
        <v>6000.0000000000018</v>
      </c>
      <c r="G87" s="1"/>
      <c r="H87" s="1"/>
      <c r="I87" s="1"/>
      <c r="J87" s="1"/>
      <c r="K87" s="1"/>
    </row>
    <row r="88" spans="2:11" x14ac:dyDescent="0.35">
      <c r="B88" s="7" t="s">
        <v>36</v>
      </c>
      <c r="C88" s="7"/>
      <c r="D88" s="50">
        <f>F15*D90</f>
        <v>60000.000000000015</v>
      </c>
      <c r="E88" s="52">
        <f>I9</f>
        <v>3.5000000000000003E-2</v>
      </c>
      <c r="F88" s="13">
        <f>E88*D88</f>
        <v>2100.0000000000009</v>
      </c>
      <c r="G88" s="1"/>
      <c r="H88" s="1"/>
      <c r="I88" s="1"/>
      <c r="J88" s="1"/>
      <c r="K88" s="1"/>
    </row>
    <row r="89" spans="2:11" x14ac:dyDescent="0.35">
      <c r="B89" s="261"/>
      <c r="C89" s="261"/>
      <c r="D89" s="261"/>
      <c r="E89" s="261"/>
      <c r="F89" s="261"/>
      <c r="G89" s="261"/>
      <c r="H89" s="1"/>
      <c r="I89" s="1"/>
      <c r="J89" s="1"/>
      <c r="K89" s="1"/>
    </row>
    <row r="90" spans="2:11" x14ac:dyDescent="0.35">
      <c r="B90" s="5" t="s">
        <v>79</v>
      </c>
      <c r="C90" s="5"/>
      <c r="D90" s="50">
        <f>D93*F11</f>
        <v>600000.00000000012</v>
      </c>
      <c r="E90" s="51"/>
      <c r="F90" s="53">
        <f>SUM(F86:F88)</f>
        <v>37500.000000000007</v>
      </c>
      <c r="G90" s="1"/>
      <c r="H90" s="1"/>
      <c r="I90" s="1"/>
      <c r="J90" s="1"/>
      <c r="K90" s="1"/>
    </row>
    <row r="91" spans="2:11" x14ac:dyDescent="0.35">
      <c r="B91" s="261"/>
      <c r="C91" s="261"/>
      <c r="D91" s="261"/>
      <c r="E91" s="261"/>
      <c r="F91" s="261"/>
      <c r="G91" s="261"/>
      <c r="H91" s="1"/>
      <c r="I91" s="1"/>
      <c r="J91" s="1"/>
      <c r="K91" s="1"/>
    </row>
    <row r="92" spans="2:11" x14ac:dyDescent="0.35">
      <c r="B92" s="31" t="s">
        <v>14</v>
      </c>
      <c r="C92" s="31"/>
      <c r="D92" s="31"/>
      <c r="E92" s="50"/>
      <c r="F92" s="51"/>
      <c r="G92" s="11"/>
      <c r="H92" s="1"/>
      <c r="I92" s="1"/>
      <c r="J92" s="1"/>
      <c r="K92" s="1"/>
    </row>
    <row r="93" spans="2:11" x14ac:dyDescent="0.35">
      <c r="B93" s="7" t="s">
        <v>82</v>
      </c>
      <c r="C93" s="7"/>
      <c r="D93" s="50">
        <f>F5</f>
        <v>1000000</v>
      </c>
      <c r="E93" s="52">
        <f>I5</f>
        <v>6.0000000000000001E-3</v>
      </c>
      <c r="F93" s="11">
        <f>E93*D93</f>
        <v>6000</v>
      </c>
      <c r="G93" s="1"/>
      <c r="H93" s="1"/>
      <c r="I93" s="1"/>
      <c r="J93" s="1"/>
      <c r="K93" s="1"/>
    </row>
    <row r="94" spans="2:11" x14ac:dyDescent="0.35">
      <c r="B94" s="7" t="s">
        <v>83</v>
      </c>
      <c r="C94" s="7"/>
      <c r="D94" s="50">
        <f>F18+F17</f>
        <v>752</v>
      </c>
      <c r="E94" s="11">
        <f>D41</f>
        <v>2</v>
      </c>
      <c r="F94" s="11">
        <f>E94*D94</f>
        <v>1504</v>
      </c>
      <c r="G94" s="1"/>
      <c r="H94" s="1"/>
      <c r="I94" s="1"/>
      <c r="J94" s="1"/>
      <c r="K94" s="1"/>
    </row>
    <row r="95" spans="2:11" x14ac:dyDescent="0.35">
      <c r="B95" s="7" t="s">
        <v>84</v>
      </c>
      <c r="C95" s="7"/>
      <c r="D95" s="50">
        <f>C42</f>
        <v>205</v>
      </c>
      <c r="E95" s="51">
        <f>D42</f>
        <v>3.5</v>
      </c>
      <c r="F95" s="11">
        <f>ROUND(E95*D95,0)</f>
        <v>718</v>
      </c>
      <c r="G95" s="1"/>
      <c r="H95" s="1"/>
      <c r="I95" s="1"/>
      <c r="J95" s="1"/>
      <c r="K95" s="1"/>
    </row>
    <row r="96" spans="2:11" x14ac:dyDescent="0.35">
      <c r="B96" s="7" t="s">
        <v>85</v>
      </c>
      <c r="C96" s="7"/>
      <c r="D96" s="50">
        <f>C43</f>
        <v>205</v>
      </c>
      <c r="E96" s="51">
        <f>D43</f>
        <v>3.5</v>
      </c>
      <c r="F96" s="11">
        <f>ROUND(E96*D96,0)</f>
        <v>718</v>
      </c>
      <c r="G96" s="1"/>
      <c r="H96" s="1"/>
      <c r="I96" s="1"/>
      <c r="J96" s="1"/>
      <c r="K96" s="1"/>
    </row>
    <row r="97" spans="2:11" x14ac:dyDescent="0.35">
      <c r="B97" s="7" t="s">
        <v>109</v>
      </c>
      <c r="C97" s="7"/>
      <c r="D97" s="50"/>
      <c r="E97" s="4"/>
      <c r="F97" s="11">
        <f>D45</f>
        <v>2800</v>
      </c>
      <c r="G97" s="1"/>
      <c r="H97" s="1"/>
      <c r="I97" s="1"/>
      <c r="J97" s="1"/>
      <c r="K97" s="1"/>
    </row>
    <row r="98" spans="2:11" x14ac:dyDescent="0.35">
      <c r="B98" s="7" t="s">
        <v>86</v>
      </c>
      <c r="C98" s="7"/>
      <c r="D98" s="50">
        <f>C46</f>
        <v>662</v>
      </c>
      <c r="E98" s="51">
        <f>D46</f>
        <v>1.25</v>
      </c>
      <c r="F98" s="11">
        <f>ROUND(E98*D98,0)</f>
        <v>828</v>
      </c>
      <c r="G98" s="1"/>
      <c r="H98" s="1"/>
      <c r="I98" s="1"/>
      <c r="J98" s="1"/>
      <c r="K98" s="1"/>
    </row>
    <row r="99" spans="2:11" x14ac:dyDescent="0.35">
      <c r="B99" s="7" t="s">
        <v>87</v>
      </c>
      <c r="C99" s="7"/>
      <c r="D99" s="50">
        <f>C44</f>
        <v>1</v>
      </c>
      <c r="E99" s="11">
        <f>D44</f>
        <v>100</v>
      </c>
      <c r="F99" s="11">
        <f>D99*E99</f>
        <v>100</v>
      </c>
      <c r="G99" s="1"/>
      <c r="H99" s="1"/>
      <c r="I99" s="1"/>
      <c r="J99" s="1"/>
      <c r="K99" s="1"/>
    </row>
    <row r="100" spans="2:11" x14ac:dyDescent="0.35">
      <c r="B100" s="7" t="s">
        <v>105</v>
      </c>
      <c r="C100" s="7"/>
      <c r="D100" s="50"/>
      <c r="E100" s="11"/>
      <c r="F100" s="11">
        <f>D47</f>
        <v>4400</v>
      </c>
      <c r="G100" s="1"/>
      <c r="H100" s="1"/>
      <c r="I100" s="1"/>
      <c r="J100" s="1"/>
      <c r="K100" s="1"/>
    </row>
    <row r="101" spans="2:11" x14ac:dyDescent="0.35">
      <c r="B101" s="7" t="s">
        <v>80</v>
      </c>
      <c r="C101" s="7"/>
      <c r="D101" s="50"/>
      <c r="E101" s="51"/>
      <c r="F101" s="13">
        <f>D48</f>
        <v>250</v>
      </c>
      <c r="G101" s="1"/>
      <c r="H101" s="1"/>
      <c r="I101" s="1"/>
      <c r="J101" s="1"/>
      <c r="K101" s="1"/>
    </row>
    <row r="102" spans="2:11" x14ac:dyDescent="0.35">
      <c r="B102" s="5" t="s">
        <v>37</v>
      </c>
      <c r="C102" s="5"/>
      <c r="D102" s="5"/>
      <c r="E102" s="50"/>
      <c r="F102" s="11">
        <f>SUM(F93:F101)</f>
        <v>17318</v>
      </c>
      <c r="G102" s="53"/>
      <c r="H102" s="1"/>
      <c r="I102" s="1"/>
      <c r="J102" s="1"/>
      <c r="K102" s="1"/>
    </row>
    <row r="103" spans="2:11" x14ac:dyDescent="0.35">
      <c r="B103" s="261"/>
      <c r="C103" s="261"/>
      <c r="D103" s="261"/>
      <c r="E103" s="261"/>
      <c r="F103" s="261"/>
      <c r="G103" s="261"/>
      <c r="H103" s="1"/>
      <c r="I103" s="1"/>
      <c r="J103" s="1"/>
      <c r="K103" s="1"/>
    </row>
    <row r="104" spans="2:11" x14ac:dyDescent="0.35">
      <c r="B104" s="31" t="s">
        <v>38</v>
      </c>
      <c r="C104" s="31"/>
      <c r="D104" s="31"/>
      <c r="E104" s="50"/>
      <c r="F104" s="51"/>
      <c r="G104" s="11"/>
      <c r="H104" s="1"/>
      <c r="I104" s="1"/>
      <c r="J104" s="1"/>
      <c r="K104" s="1"/>
    </row>
    <row r="105" spans="2:11" x14ac:dyDescent="0.35">
      <c r="B105" s="123" t="s">
        <v>19</v>
      </c>
      <c r="C105" s="7"/>
      <c r="D105" s="7"/>
      <c r="E105" s="6"/>
      <c r="F105" s="7"/>
      <c r="G105" s="7"/>
      <c r="H105" s="1"/>
      <c r="I105" s="1"/>
      <c r="J105" s="1"/>
      <c r="K105" s="1"/>
    </row>
    <row r="106" spans="2:11" x14ac:dyDescent="0.35">
      <c r="B106" s="7" t="s">
        <v>114</v>
      </c>
      <c r="C106" s="7"/>
      <c r="D106" s="50">
        <f t="shared" ref="D106:E110" si="2">C50</f>
        <v>1</v>
      </c>
      <c r="E106" s="11">
        <f t="shared" si="2"/>
        <v>750</v>
      </c>
      <c r="F106" s="11">
        <f>E106*D106</f>
        <v>750</v>
      </c>
      <c r="G106" s="1"/>
      <c r="H106" s="1"/>
      <c r="I106" s="1"/>
      <c r="J106" s="1"/>
      <c r="K106" s="1"/>
    </row>
    <row r="107" spans="2:11" x14ac:dyDescent="0.35">
      <c r="B107" s="7" t="s">
        <v>115</v>
      </c>
      <c r="C107" s="7"/>
      <c r="D107" s="50">
        <f t="shared" si="2"/>
        <v>1</v>
      </c>
      <c r="E107" s="11">
        <f t="shared" si="2"/>
        <v>250</v>
      </c>
      <c r="F107" s="11">
        <f>D107*E107</f>
        <v>250</v>
      </c>
      <c r="G107" s="1"/>
      <c r="H107" s="1"/>
      <c r="I107" s="1"/>
      <c r="J107" s="1"/>
      <c r="K107" s="1"/>
    </row>
    <row r="108" spans="2:11" x14ac:dyDescent="0.35">
      <c r="B108" s="7" t="s">
        <v>81</v>
      </c>
      <c r="C108" s="7"/>
      <c r="D108" s="50">
        <f t="shared" si="2"/>
        <v>1</v>
      </c>
      <c r="E108" s="11">
        <f t="shared" si="2"/>
        <v>500</v>
      </c>
      <c r="F108" s="11">
        <f>E108*D108</f>
        <v>500</v>
      </c>
      <c r="G108" s="1"/>
      <c r="H108" s="1"/>
      <c r="I108" s="1"/>
      <c r="J108" s="1"/>
      <c r="K108" s="1"/>
    </row>
    <row r="109" spans="2:11" x14ac:dyDescent="0.35">
      <c r="B109" s="7" t="s">
        <v>112</v>
      </c>
      <c r="C109" s="7"/>
      <c r="D109" s="50">
        <f t="shared" si="2"/>
        <v>1</v>
      </c>
      <c r="E109" s="11">
        <f t="shared" si="2"/>
        <v>27</v>
      </c>
      <c r="F109" s="11">
        <f>D109*E109</f>
        <v>27</v>
      </c>
      <c r="G109" s="1"/>
      <c r="H109" s="1"/>
      <c r="I109" s="1"/>
      <c r="J109" s="1"/>
      <c r="K109" s="1"/>
    </row>
    <row r="110" spans="2:11" x14ac:dyDescent="0.35">
      <c r="B110" s="7" t="s">
        <v>113</v>
      </c>
      <c r="C110" s="7"/>
      <c r="D110" s="50">
        <f t="shared" si="2"/>
        <v>1</v>
      </c>
      <c r="E110" s="11">
        <f t="shared" si="2"/>
        <v>100</v>
      </c>
      <c r="F110" s="11">
        <f>E110*D110</f>
        <v>100</v>
      </c>
      <c r="G110" s="1"/>
      <c r="H110" s="1"/>
      <c r="I110" s="1"/>
      <c r="J110" s="1"/>
      <c r="K110" s="1"/>
    </row>
    <row r="111" spans="2:11" x14ac:dyDescent="0.35">
      <c r="B111" s="261"/>
      <c r="C111" s="261"/>
      <c r="D111" s="261"/>
      <c r="E111" s="261"/>
      <c r="F111" s="261"/>
      <c r="G111" s="261"/>
      <c r="H111" s="1"/>
      <c r="I111" s="1"/>
      <c r="J111" s="1"/>
      <c r="K111" s="1"/>
    </row>
    <row r="112" spans="2:11" x14ac:dyDescent="0.35">
      <c r="B112" s="7" t="s">
        <v>39</v>
      </c>
      <c r="C112" s="7"/>
      <c r="D112" s="7"/>
      <c r="E112" s="6"/>
      <c r="F112" s="11">
        <f>ROUND(AVERAGE(G29:K29),0)</f>
        <v>918</v>
      </c>
      <c r="G112" s="1"/>
      <c r="H112" s="1"/>
      <c r="I112" s="1"/>
      <c r="J112" s="1"/>
      <c r="K112" s="1"/>
    </row>
    <row r="113" spans="2:11" x14ac:dyDescent="0.35">
      <c r="B113" s="7" t="s">
        <v>40</v>
      </c>
      <c r="C113" s="7"/>
      <c r="D113" s="7"/>
      <c r="E113" s="6"/>
      <c r="F113" s="13">
        <f>AVERAGE(E80:I80)</f>
        <v>915.46666666666681</v>
      </c>
      <c r="G113" s="1"/>
      <c r="H113" s="1"/>
      <c r="I113" s="1"/>
      <c r="J113" s="1"/>
      <c r="K113" s="1"/>
    </row>
    <row r="114" spans="2:11" x14ac:dyDescent="0.35">
      <c r="B114" s="5" t="s">
        <v>41</v>
      </c>
      <c r="C114" s="5"/>
      <c r="D114" s="5"/>
      <c r="E114" s="6"/>
      <c r="F114" s="53">
        <f>SUM(F106:F113)</f>
        <v>3460.4666666666667</v>
      </c>
      <c r="G114" s="1"/>
      <c r="H114" s="1"/>
      <c r="I114" s="1"/>
      <c r="J114" s="1"/>
      <c r="K114" s="1"/>
    </row>
    <row r="115" spans="2:11" x14ac:dyDescent="0.35">
      <c r="B115" s="5"/>
      <c r="C115" s="5"/>
      <c r="D115" s="5"/>
      <c r="E115" s="6"/>
      <c r="F115" s="53"/>
      <c r="G115" s="1"/>
      <c r="H115" s="1"/>
      <c r="I115" s="1"/>
      <c r="J115" s="1"/>
      <c r="K115" s="1"/>
    </row>
    <row r="116" spans="2:11" x14ac:dyDescent="0.35">
      <c r="B116" s="31" t="s">
        <v>90</v>
      </c>
      <c r="C116" s="31"/>
      <c r="D116" s="31"/>
      <c r="E116" s="6"/>
      <c r="F116" s="53">
        <f>F114+F102</f>
        <v>20778.466666666667</v>
      </c>
      <c r="G116" s="1"/>
      <c r="H116" s="1"/>
      <c r="I116" s="1"/>
      <c r="J116" s="1"/>
      <c r="K116" s="1"/>
    </row>
    <row r="117" spans="2:11" x14ac:dyDescent="0.35">
      <c r="B117" s="31"/>
      <c r="C117" s="31"/>
      <c r="D117" s="31"/>
      <c r="E117" s="6"/>
      <c r="F117" s="11"/>
      <c r="G117" s="1"/>
      <c r="H117" s="1"/>
      <c r="I117" s="1"/>
      <c r="J117" s="1"/>
      <c r="K117" s="1"/>
    </row>
    <row r="118" spans="2:11" x14ac:dyDescent="0.35">
      <c r="B118" s="31" t="s">
        <v>122</v>
      </c>
      <c r="C118" s="31"/>
      <c r="D118" s="31"/>
      <c r="E118" s="6"/>
      <c r="F118" s="11"/>
      <c r="G118" s="1"/>
      <c r="H118" s="1"/>
      <c r="I118" s="1"/>
      <c r="J118" s="1"/>
      <c r="K118" s="1"/>
    </row>
    <row r="119" spans="2:11" x14ac:dyDescent="0.35">
      <c r="B119" s="123" t="s">
        <v>123</v>
      </c>
      <c r="C119" s="31"/>
      <c r="D119" s="31"/>
      <c r="E119" s="6"/>
      <c r="F119" s="11"/>
      <c r="G119" s="1"/>
      <c r="H119" s="1"/>
      <c r="I119" s="1"/>
      <c r="J119" s="1"/>
      <c r="K119" s="1"/>
    </row>
    <row r="120" spans="2:11" x14ac:dyDescent="0.35">
      <c r="B120" s="5" t="s">
        <v>119</v>
      </c>
      <c r="C120" s="31"/>
      <c r="D120" s="31"/>
      <c r="E120" s="6"/>
      <c r="F120" s="11">
        <f>F90-(F116-F113)</f>
        <v>17637.000000000007</v>
      </c>
      <c r="G120" s="1"/>
      <c r="H120" s="1"/>
      <c r="I120" s="1"/>
      <c r="J120" s="1"/>
      <c r="K120" s="1"/>
    </row>
    <row r="121" spans="2:11" x14ac:dyDescent="0.35">
      <c r="B121" s="5" t="s">
        <v>120</v>
      </c>
      <c r="C121" s="31"/>
      <c r="D121" s="31"/>
      <c r="E121" s="6"/>
      <c r="F121" s="157">
        <f>(F116-F113)/D90</f>
        <v>3.3104999999999996E-2</v>
      </c>
      <c r="G121" s="1"/>
      <c r="H121" s="1"/>
      <c r="I121" s="1"/>
      <c r="J121" s="1"/>
      <c r="K121" s="1"/>
    </row>
    <row r="122" spans="2:11" x14ac:dyDescent="0.35">
      <c r="B122" s="5" t="s">
        <v>121</v>
      </c>
      <c r="C122" s="31"/>
      <c r="D122" s="31"/>
      <c r="E122" s="6"/>
      <c r="F122" s="55">
        <f>((F116-F113)/(E86*(D86/D90)+E87*(D87/D90)+E88*(D88/D90)))/D93</f>
        <v>0.31780799999999998</v>
      </c>
      <c r="G122" s="1"/>
      <c r="H122" s="1"/>
      <c r="I122" s="1"/>
      <c r="J122" s="1"/>
      <c r="K122" s="1"/>
    </row>
    <row r="123" spans="2:11" x14ac:dyDescent="0.35">
      <c r="B123" s="5"/>
      <c r="C123" s="31"/>
      <c r="D123" s="31"/>
      <c r="E123" s="6"/>
      <c r="F123" s="55"/>
      <c r="G123" s="1"/>
      <c r="H123" s="1"/>
      <c r="I123" s="1"/>
      <c r="J123" s="1"/>
      <c r="K123" s="1"/>
    </row>
    <row r="124" spans="2:11" x14ac:dyDescent="0.35">
      <c r="B124" s="158" t="s">
        <v>90</v>
      </c>
      <c r="C124" s="156"/>
      <c r="D124" s="156"/>
      <c r="E124" s="156"/>
      <c r="F124" s="156"/>
      <c r="G124" s="156"/>
      <c r="H124" s="1"/>
      <c r="I124" s="1"/>
      <c r="J124" s="1"/>
      <c r="K124" s="1"/>
    </row>
    <row r="125" spans="2:11" x14ac:dyDescent="0.35">
      <c r="B125" s="5" t="s">
        <v>42</v>
      </c>
      <c r="C125" s="5"/>
      <c r="D125" s="5"/>
      <c r="E125" s="6"/>
      <c r="F125" s="11">
        <f>F90-F116</f>
        <v>16721.53333333334</v>
      </c>
      <c r="G125" s="1"/>
      <c r="H125" s="1"/>
      <c r="I125" s="1"/>
      <c r="J125" s="1"/>
      <c r="K125" s="1"/>
    </row>
    <row r="126" spans="2:11" x14ac:dyDescent="0.35">
      <c r="B126" s="5" t="s">
        <v>43</v>
      </c>
      <c r="C126" s="5"/>
      <c r="D126" s="5"/>
      <c r="E126" s="6"/>
      <c r="F126" s="54">
        <f>F116/D90</f>
        <v>3.4630777777777774E-2</v>
      </c>
      <c r="G126" s="1"/>
      <c r="H126" s="1"/>
      <c r="I126" s="1"/>
      <c r="J126" s="1"/>
      <c r="K126" s="1"/>
    </row>
    <row r="127" spans="2:11" x14ac:dyDescent="0.35">
      <c r="B127" s="5" t="s">
        <v>44</v>
      </c>
      <c r="C127" s="5"/>
      <c r="D127" s="5"/>
      <c r="E127" s="6"/>
      <c r="F127" s="55">
        <f>(F116/(E86*(D86/D90)+E87*(D87/D90)+E88*(D88/D90)))/D93</f>
        <v>0.3324554666666667</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OrEqual" allowBlank="1" showInputMessage="1" showErrorMessage="1" sqref="F15">
      <formula1>0</formula1>
    </dataValidation>
    <dataValidation type="whole" allowBlank="1" showInputMessage="1" showErrorMessage="1" sqref="E25:E28">
      <formula1>0</formula1>
      <formula2>1</formula2>
    </dataValidation>
    <dataValidation type="whole" operator="greaterThan" allowBlank="1" showInputMessage="1" showErrorMessage="1" sqref="C22:C28 D24:D28 E24 F53:I54 E50:E54 F5 E40:E41 F47:I47 E43:E48 D75:D79 C73:C79">
      <formula1>0</formula1>
    </dataValidation>
    <dataValidation type="decimal" operator="greaterThan" allowBlank="1" showInputMessage="1" showErrorMessage="1" sqref="I7:I9 I5 F6:F7 F9:F11 F13:F14">
      <formula1>0</formula1>
    </dataValidation>
  </dataValidations>
  <pageMargins left="0.75" right="0.75" top="1" bottom="1" header="0.5" footer="0.5"/>
  <pageSetup orientation="portrait" horizontalDpi="4294967292" verticalDpi="4294967292"/>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27"/>
  <sheetViews>
    <sheetView topLeftCell="A55" workbookViewId="0">
      <selection activeCell="L81" sqref="L81"/>
    </sheetView>
  </sheetViews>
  <sheetFormatPr defaultColWidth="11" defaultRowHeight="15.5" x14ac:dyDescent="0.35"/>
  <sheetData>
    <row r="3" spans="2:11" ht="16" thickBot="1" x14ac:dyDescent="0.4">
      <c r="B3" s="1"/>
      <c r="C3" s="1"/>
      <c r="D3" s="1"/>
      <c r="E3" s="66"/>
      <c r="F3" s="37"/>
      <c r="G3" s="7"/>
      <c r="H3" s="1"/>
      <c r="I3" s="1"/>
      <c r="J3" s="1"/>
      <c r="K3" s="1"/>
    </row>
    <row r="4" spans="2:11" x14ac:dyDescent="0.35">
      <c r="B4" s="1"/>
      <c r="C4" s="1"/>
      <c r="D4" s="18" t="s">
        <v>51</v>
      </c>
      <c r="E4" s="117"/>
      <c r="F4" s="19" t="s">
        <v>50</v>
      </c>
      <c r="G4" s="1"/>
      <c r="H4" s="18" t="s">
        <v>53</v>
      </c>
      <c r="I4" s="19" t="s">
        <v>54</v>
      </c>
      <c r="J4" s="1"/>
      <c r="K4" s="1"/>
    </row>
    <row r="5" spans="2:11" x14ac:dyDescent="0.35">
      <c r="B5" s="1"/>
      <c r="C5" s="1"/>
      <c r="D5" s="239" t="s">
        <v>73</v>
      </c>
      <c r="E5" s="240"/>
      <c r="F5" s="56">
        <f>Budget!E5</f>
        <v>1000000</v>
      </c>
      <c r="G5" s="1"/>
      <c r="H5" s="22" t="s">
        <v>46</v>
      </c>
      <c r="I5" s="62">
        <f>Budget!H5</f>
        <v>6.0000000000000001E-3</v>
      </c>
      <c r="J5" s="1"/>
      <c r="K5" s="1"/>
    </row>
    <row r="6" spans="2:11" x14ac:dyDescent="0.35">
      <c r="B6" s="1"/>
      <c r="C6" s="1"/>
      <c r="D6" s="247" t="s">
        <v>60</v>
      </c>
      <c r="E6" s="248"/>
      <c r="F6" s="57">
        <f>Budget!E6</f>
        <v>10000</v>
      </c>
      <c r="G6" s="1"/>
      <c r="H6" s="43" t="s">
        <v>47</v>
      </c>
      <c r="I6" s="21">
        <f>Budget!H6</f>
        <v>0</v>
      </c>
      <c r="J6" s="1"/>
      <c r="K6" s="1"/>
    </row>
    <row r="7" spans="2:11" x14ac:dyDescent="0.35">
      <c r="B7" s="1"/>
      <c r="C7" s="1"/>
      <c r="D7" s="239" t="s">
        <v>55</v>
      </c>
      <c r="E7" s="240"/>
      <c r="F7" s="82">
        <f>Budget!E7</f>
        <v>1150</v>
      </c>
      <c r="G7" s="1"/>
      <c r="H7" s="20" t="s">
        <v>67</v>
      </c>
      <c r="I7" s="45">
        <f>'Cash Cost Sensitivities (2)'!A10</f>
        <v>0.06</v>
      </c>
      <c r="J7" s="1"/>
      <c r="K7" s="1"/>
    </row>
    <row r="8" spans="2:11" x14ac:dyDescent="0.35">
      <c r="B8" s="1"/>
      <c r="C8" s="1"/>
      <c r="D8" s="239" t="s">
        <v>56</v>
      </c>
      <c r="E8" s="240"/>
      <c r="F8" s="59"/>
      <c r="G8" s="1"/>
      <c r="H8" s="20" t="s">
        <v>62</v>
      </c>
      <c r="I8" s="45">
        <f>'Cash Cost Sensitivities (2)'!B10</f>
        <v>0.04</v>
      </c>
      <c r="J8" s="1"/>
      <c r="K8" s="1"/>
    </row>
    <row r="9" spans="2:11" ht="16" thickBot="1" x14ac:dyDescent="0.4">
      <c r="B9" s="1"/>
      <c r="C9" s="1"/>
      <c r="D9" s="237" t="s">
        <v>57</v>
      </c>
      <c r="E9" s="238"/>
      <c r="F9" s="60">
        <f>Budget!E9</f>
        <v>0.75</v>
      </c>
      <c r="G9" s="1"/>
      <c r="H9" s="44" t="s">
        <v>63</v>
      </c>
      <c r="I9" s="46">
        <f>'Cash Cost Sensitivities (2)'!C10</f>
        <v>0.03</v>
      </c>
      <c r="J9" s="1"/>
      <c r="K9" s="1"/>
    </row>
    <row r="10" spans="2:11" x14ac:dyDescent="0.35">
      <c r="B10" s="1"/>
      <c r="C10" s="1"/>
      <c r="D10" s="237" t="s">
        <v>58</v>
      </c>
      <c r="E10" s="238"/>
      <c r="F10" s="60">
        <f>Budget!E10</f>
        <v>0.8</v>
      </c>
      <c r="G10" s="1"/>
      <c r="H10" s="17"/>
      <c r="I10" s="1"/>
      <c r="J10" s="1"/>
      <c r="K10" s="1"/>
    </row>
    <row r="11" spans="2:11" x14ac:dyDescent="0.35">
      <c r="B11" s="1"/>
      <c r="C11" s="1"/>
      <c r="D11" s="237" t="s">
        <v>59</v>
      </c>
      <c r="E11" s="238"/>
      <c r="F11" s="132">
        <f>F9*F10</f>
        <v>0.60000000000000009</v>
      </c>
      <c r="G11" s="1"/>
      <c r="H11" s="138"/>
      <c r="I11" s="139"/>
      <c r="J11" s="1"/>
      <c r="K11" s="1"/>
    </row>
    <row r="12" spans="2:11" x14ac:dyDescent="0.35">
      <c r="B12" s="1"/>
      <c r="C12" s="1"/>
      <c r="D12" s="239" t="s">
        <v>52</v>
      </c>
      <c r="E12" s="240"/>
      <c r="F12" s="241"/>
      <c r="G12" s="1"/>
      <c r="H12" s="1"/>
      <c r="I12" s="1"/>
      <c r="J12" s="1"/>
      <c r="K12" s="1"/>
    </row>
    <row r="13" spans="2:11" x14ac:dyDescent="0.35">
      <c r="B13" s="1"/>
      <c r="C13" s="1"/>
      <c r="D13" s="237" t="s">
        <v>61</v>
      </c>
      <c r="E13" s="238"/>
      <c r="F13" s="60">
        <f>Budget!E13</f>
        <v>0.7</v>
      </c>
      <c r="G13" s="1"/>
      <c r="H13" s="1"/>
      <c r="I13" s="1"/>
      <c r="J13" s="1"/>
      <c r="K13" s="1"/>
    </row>
    <row r="14" spans="2:11" x14ac:dyDescent="0.35">
      <c r="B14" s="1"/>
      <c r="C14" s="1"/>
      <c r="D14" s="237" t="s">
        <v>62</v>
      </c>
      <c r="E14" s="238"/>
      <c r="F14" s="60">
        <f>Budget!E14</f>
        <v>0.2</v>
      </c>
      <c r="G14" s="1"/>
      <c r="H14" s="1"/>
      <c r="I14" s="1"/>
      <c r="J14" s="1"/>
      <c r="K14" s="1"/>
    </row>
    <row r="15" spans="2:11" x14ac:dyDescent="0.35">
      <c r="B15" s="1"/>
      <c r="C15" s="1"/>
      <c r="D15" s="237" t="s">
        <v>63</v>
      </c>
      <c r="E15" s="238"/>
      <c r="F15" s="105">
        <f>Budget!E15</f>
        <v>0.1</v>
      </c>
      <c r="G15" s="1"/>
      <c r="H15" s="1"/>
      <c r="I15" s="1"/>
      <c r="J15" s="1"/>
      <c r="K15" s="1"/>
    </row>
    <row r="16" spans="2:11" x14ac:dyDescent="0.35">
      <c r="B16" s="7"/>
      <c r="C16" s="7"/>
      <c r="D16" s="242" t="s">
        <v>103</v>
      </c>
      <c r="E16" s="243"/>
      <c r="F16" s="103"/>
      <c r="G16" s="1"/>
      <c r="H16" s="1"/>
      <c r="I16" s="1"/>
      <c r="J16" s="1"/>
      <c r="K16" s="1"/>
    </row>
    <row r="17" spans="2:11" x14ac:dyDescent="0.35">
      <c r="B17" s="1"/>
      <c r="C17" s="1"/>
      <c r="D17" s="250" t="s">
        <v>57</v>
      </c>
      <c r="E17" s="251"/>
      <c r="F17" s="106">
        <f>ROUND(F5/F6,0)</f>
        <v>100</v>
      </c>
      <c r="G17" s="1"/>
      <c r="H17" s="1"/>
      <c r="I17" s="1"/>
      <c r="J17" s="1"/>
      <c r="K17" s="1"/>
    </row>
    <row r="18" spans="2:11" ht="16" thickBot="1" x14ac:dyDescent="0.4">
      <c r="B18" s="2"/>
      <c r="C18" s="2"/>
      <c r="D18" s="252" t="s">
        <v>102</v>
      </c>
      <c r="E18" s="253"/>
      <c r="F18" s="104">
        <f>ROUND(F5*F9/F7,0)</f>
        <v>652</v>
      </c>
      <c r="G18" s="1"/>
      <c r="H18" s="1"/>
      <c r="I18" s="1"/>
      <c r="J18" s="1"/>
      <c r="K18" s="1"/>
    </row>
    <row r="19" spans="2:11" x14ac:dyDescent="0.35">
      <c r="B19" s="2"/>
      <c r="C19" s="2"/>
      <c r="D19" s="2"/>
      <c r="E19" s="14"/>
      <c r="F19" s="2"/>
      <c r="G19" s="1"/>
      <c r="H19" s="1"/>
      <c r="I19" s="1"/>
      <c r="J19" s="1"/>
      <c r="K19" s="1"/>
    </row>
    <row r="20" spans="2:11" ht="18.5" x14ac:dyDescent="0.45">
      <c r="B20" s="236" t="s">
        <v>12</v>
      </c>
      <c r="C20" s="236"/>
      <c r="D20" s="236"/>
      <c r="E20" s="236"/>
      <c r="F20" s="236"/>
      <c r="G20" s="236"/>
      <c r="H20" s="236"/>
      <c r="I20" s="236"/>
      <c r="J20" s="236"/>
      <c r="K20" s="236"/>
    </row>
    <row r="21" spans="2:11" ht="16" thickBot="1" x14ac:dyDescent="0.4">
      <c r="B21" s="23" t="s">
        <v>0</v>
      </c>
      <c r="C21" s="34" t="s">
        <v>1</v>
      </c>
      <c r="D21" s="33" t="s">
        <v>2</v>
      </c>
      <c r="E21" s="33" t="s">
        <v>72</v>
      </c>
      <c r="F21" s="33" t="s">
        <v>117</v>
      </c>
      <c r="G21" s="33" t="s">
        <v>3</v>
      </c>
      <c r="H21" s="33" t="s">
        <v>4</v>
      </c>
      <c r="I21" s="33" t="s">
        <v>5</v>
      </c>
      <c r="J21" s="33" t="s">
        <v>6</v>
      </c>
      <c r="K21" s="33" t="s">
        <v>7</v>
      </c>
    </row>
    <row r="22" spans="2:11" x14ac:dyDescent="0.35">
      <c r="B22" s="25" t="s">
        <v>8</v>
      </c>
      <c r="C22" s="68">
        <f>Budget!B22</f>
        <v>7</v>
      </c>
      <c r="D22" s="140">
        <f>Budget!C22</f>
        <v>4</v>
      </c>
      <c r="E22" s="146">
        <f>Budget!D22</f>
        <v>25</v>
      </c>
      <c r="F22" s="149">
        <f>Budget!E22</f>
        <v>175</v>
      </c>
      <c r="G22" s="149">
        <f>Budget!F22</f>
        <v>175</v>
      </c>
      <c r="H22" s="149">
        <f>Budget!G22</f>
        <v>180</v>
      </c>
      <c r="I22" s="149">
        <f>Budget!H22</f>
        <v>186</v>
      </c>
      <c r="J22" s="149">
        <f>Budget!I22</f>
        <v>191</v>
      </c>
      <c r="K22" s="149">
        <f>Budget!J22</f>
        <v>197</v>
      </c>
    </row>
    <row r="23" spans="2:11" x14ac:dyDescent="0.35">
      <c r="B23" s="16" t="s">
        <v>9</v>
      </c>
      <c r="C23" s="67">
        <f>Budget!B23</f>
        <v>6.2</v>
      </c>
      <c r="D23" s="141">
        <f>Budget!C23</f>
        <v>10</v>
      </c>
      <c r="E23" s="181">
        <f>Budget!D23</f>
        <v>65</v>
      </c>
      <c r="F23" s="150">
        <f>Budget!E23</f>
        <v>404</v>
      </c>
      <c r="G23" s="150">
        <f>Budget!F23</f>
        <v>403</v>
      </c>
      <c r="H23" s="150">
        <f>Budget!G23</f>
        <v>415</v>
      </c>
      <c r="I23" s="150">
        <f>Budget!H23</f>
        <v>428</v>
      </c>
      <c r="J23" s="150">
        <f>Budget!I23</f>
        <v>440</v>
      </c>
      <c r="K23" s="150">
        <f>Budget!J23</f>
        <v>454</v>
      </c>
    </row>
    <row r="24" spans="2:11" x14ac:dyDescent="0.35">
      <c r="B24" s="16" t="s">
        <v>10</v>
      </c>
      <c r="C24" s="67">
        <f>Budget!B24</f>
        <v>250</v>
      </c>
      <c r="D24" s="141">
        <f>Budget!C24</f>
        <v>3</v>
      </c>
      <c r="E24" s="182">
        <f>Budget!D24</f>
        <v>1</v>
      </c>
      <c r="F24" s="151">
        <f>Budget!E24</f>
        <v>0</v>
      </c>
      <c r="G24" s="150">
        <f>Budget!F24</f>
        <v>250</v>
      </c>
      <c r="H24" s="150">
        <f>Budget!G24</f>
        <v>0</v>
      </c>
      <c r="I24" s="150">
        <f>Budget!H24</f>
        <v>0</v>
      </c>
      <c r="J24" s="150">
        <f>Budget!I24</f>
        <v>273</v>
      </c>
      <c r="K24" s="150">
        <f>Budget!J24</f>
        <v>0</v>
      </c>
    </row>
    <row r="25" spans="2:11" x14ac:dyDescent="0.35">
      <c r="B25" s="16" t="s">
        <v>11</v>
      </c>
      <c r="C25" s="67">
        <f>Budget!B25</f>
        <v>18000</v>
      </c>
      <c r="D25" s="141">
        <f>Budget!C25</f>
        <v>7</v>
      </c>
      <c r="E25" s="141">
        <f>Budget!D25</f>
        <v>0</v>
      </c>
      <c r="F25" s="152">
        <f>Budget!E25</f>
        <v>0</v>
      </c>
      <c r="G25" s="150">
        <f>Budget!F25</f>
        <v>0</v>
      </c>
      <c r="H25" s="150">
        <f>Budget!G25</f>
        <v>0</v>
      </c>
      <c r="I25" s="150">
        <f>Budget!H25</f>
        <v>0</v>
      </c>
      <c r="J25" s="150">
        <f>Budget!I25</f>
        <v>0</v>
      </c>
      <c r="K25" s="150">
        <f>Budget!J25</f>
        <v>0</v>
      </c>
    </row>
    <row r="26" spans="2:11" x14ac:dyDescent="0.35">
      <c r="B26" s="16" t="s">
        <v>69</v>
      </c>
      <c r="C26" s="67">
        <f>Budget!B26</f>
        <v>28000</v>
      </c>
      <c r="D26" s="141">
        <f>Budget!C26</f>
        <v>10</v>
      </c>
      <c r="E26" s="141">
        <f>Budget!D26</f>
        <v>0</v>
      </c>
      <c r="F26" s="152">
        <f>Budget!E26</f>
        <v>0</v>
      </c>
      <c r="G26" s="150">
        <f>Budget!F26</f>
        <v>0</v>
      </c>
      <c r="H26" s="150">
        <f>Budget!G26</f>
        <v>0</v>
      </c>
      <c r="I26" s="150">
        <f>Budget!H26</f>
        <v>0</v>
      </c>
      <c r="J26" s="150">
        <f>Budget!I26</f>
        <v>0</v>
      </c>
      <c r="K26" s="150">
        <f>Budget!J26</f>
        <v>0</v>
      </c>
    </row>
    <row r="27" spans="2:11" x14ac:dyDescent="0.35">
      <c r="B27" s="16" t="s">
        <v>70</v>
      </c>
      <c r="C27" s="67">
        <f>Budget!B27</f>
        <v>10000</v>
      </c>
      <c r="D27" s="141">
        <f>Budget!C27</f>
        <v>3</v>
      </c>
      <c r="E27" s="141">
        <f>Budget!D27</f>
        <v>0</v>
      </c>
      <c r="F27" s="152">
        <f>Budget!E27</f>
        <v>0</v>
      </c>
      <c r="G27" s="150">
        <f>Budget!F27</f>
        <v>0</v>
      </c>
      <c r="H27" s="150">
        <f>Budget!G27</f>
        <v>0</v>
      </c>
      <c r="I27" s="150">
        <f>Budget!H27</f>
        <v>0</v>
      </c>
      <c r="J27" s="150">
        <f>Budget!I27</f>
        <v>0</v>
      </c>
      <c r="K27" s="150">
        <f>Budget!J27</f>
        <v>0</v>
      </c>
    </row>
    <row r="28" spans="2:11" ht="44" thickBot="1" x14ac:dyDescent="0.4">
      <c r="B28" s="98" t="s">
        <v>71</v>
      </c>
      <c r="C28" s="69">
        <f>Budget!B28</f>
        <v>1000</v>
      </c>
      <c r="D28" s="142">
        <f>Budget!C28</f>
        <v>5</v>
      </c>
      <c r="E28" s="142">
        <f>Budget!D28</f>
        <v>1</v>
      </c>
      <c r="F28" s="153">
        <f>Budget!E28</f>
        <v>0</v>
      </c>
      <c r="G28" s="154">
        <f>Budget!F28</f>
        <v>1000</v>
      </c>
      <c r="H28" s="154">
        <f>Budget!G28</f>
        <v>0</v>
      </c>
      <c r="I28" s="154">
        <f>Budget!H28</f>
        <v>0</v>
      </c>
      <c r="J28" s="154">
        <f>Budget!I28</f>
        <v>0</v>
      </c>
      <c r="K28" s="154">
        <f>Budget!J28</f>
        <v>0</v>
      </c>
    </row>
    <row r="29" spans="2:11" x14ac:dyDescent="0.35">
      <c r="B29" s="5" t="s">
        <v>45</v>
      </c>
      <c r="C29" s="6"/>
      <c r="D29" s="7"/>
      <c r="E29" s="7"/>
      <c r="F29" s="15"/>
      <c r="G29" s="15">
        <f>SUM(G22:G28)</f>
        <v>1828</v>
      </c>
      <c r="H29" s="15">
        <f>SUM(H22:H28)</f>
        <v>595</v>
      </c>
      <c r="I29" s="15">
        <f>SUM(I22:I28)</f>
        <v>614</v>
      </c>
      <c r="J29" s="15">
        <f>SUM(J22:J28)</f>
        <v>904</v>
      </c>
      <c r="K29" s="15">
        <f>SUM(K22:K28)</f>
        <v>651</v>
      </c>
    </row>
    <row r="30" spans="2:11" x14ac:dyDescent="0.35">
      <c r="B30" s="1"/>
      <c r="C30" s="1"/>
      <c r="D30" s="1"/>
      <c r="E30" s="4"/>
      <c r="F30" s="1"/>
      <c r="G30" s="1"/>
      <c r="H30" s="1"/>
      <c r="I30" s="1"/>
      <c r="J30" s="1"/>
      <c r="K30" s="1"/>
    </row>
    <row r="31" spans="2:11" x14ac:dyDescent="0.35">
      <c r="B31" s="107"/>
      <c r="C31" s="107"/>
      <c r="D31" s="107"/>
      <c r="E31" s="4"/>
      <c r="F31" s="1"/>
      <c r="G31" s="1"/>
      <c r="H31" s="1"/>
      <c r="I31" s="1"/>
      <c r="J31" s="1"/>
      <c r="K31" s="1"/>
    </row>
    <row r="32" spans="2:11" x14ac:dyDescent="0.35">
      <c r="B32" s="107"/>
      <c r="C32" s="107"/>
      <c r="D32" s="107"/>
      <c r="E32" s="4"/>
      <c r="F32" s="1"/>
      <c r="G32" s="1"/>
      <c r="H32" s="1"/>
      <c r="I32" s="1"/>
      <c r="J32" s="1"/>
      <c r="K32" s="1"/>
    </row>
    <row r="33" spans="2:11" x14ac:dyDescent="0.35">
      <c r="B33" s="107"/>
      <c r="C33" s="107"/>
      <c r="D33" s="107"/>
      <c r="E33" s="4"/>
      <c r="F33" s="1"/>
      <c r="G33" s="1"/>
      <c r="H33" s="1"/>
      <c r="I33" s="1"/>
      <c r="J33" s="1"/>
      <c r="K33" s="1"/>
    </row>
    <row r="34" spans="2:11" x14ac:dyDescent="0.35">
      <c r="B34" s="107"/>
      <c r="C34" s="107"/>
      <c r="D34" s="107"/>
      <c r="E34" s="4"/>
      <c r="F34" s="1"/>
      <c r="G34" s="1"/>
      <c r="H34" s="1"/>
      <c r="I34" s="1"/>
      <c r="J34" s="1"/>
      <c r="K34" s="1"/>
    </row>
    <row r="35" spans="2:11" x14ac:dyDescent="0.35">
      <c r="B35" s="107"/>
      <c r="C35" s="107"/>
      <c r="D35" s="107"/>
      <c r="E35" s="4"/>
      <c r="F35" s="1"/>
      <c r="G35" s="1"/>
      <c r="H35" s="1"/>
      <c r="I35" s="1"/>
      <c r="J35" s="1"/>
      <c r="K35" s="1"/>
    </row>
    <row r="36" spans="2:11" x14ac:dyDescent="0.35">
      <c r="B36" s="107"/>
      <c r="C36" s="107"/>
      <c r="D36" s="107"/>
      <c r="E36" s="4"/>
      <c r="F36" s="1"/>
      <c r="G36" s="1"/>
      <c r="H36" s="1"/>
      <c r="I36" s="1"/>
      <c r="J36" s="1"/>
      <c r="K36" s="1"/>
    </row>
    <row r="37" spans="2:11" ht="18.5" x14ac:dyDescent="0.45">
      <c r="B37" s="236" t="s">
        <v>14</v>
      </c>
      <c r="C37" s="236"/>
      <c r="D37" s="236"/>
      <c r="E37" s="236"/>
      <c r="F37" s="236"/>
      <c r="G37" s="236"/>
      <c r="H37" s="236"/>
      <c r="I37" s="236"/>
      <c r="J37" s="1"/>
      <c r="K37" s="1"/>
    </row>
    <row r="38" spans="2:11" ht="44" thickBot="1" x14ac:dyDescent="0.4">
      <c r="B38" s="33" t="s">
        <v>13</v>
      </c>
      <c r="C38" s="23" t="s">
        <v>107</v>
      </c>
      <c r="D38" s="122" t="s">
        <v>110</v>
      </c>
      <c r="E38" s="34" t="s">
        <v>3</v>
      </c>
      <c r="F38" s="33" t="s">
        <v>4</v>
      </c>
      <c r="G38" s="33" t="s">
        <v>5</v>
      </c>
      <c r="H38" s="33" t="s">
        <v>6</v>
      </c>
      <c r="I38" s="33" t="s">
        <v>7</v>
      </c>
      <c r="J38" s="1"/>
      <c r="K38" s="1"/>
    </row>
    <row r="39" spans="2:11" x14ac:dyDescent="0.35">
      <c r="B39" s="41" t="s">
        <v>14</v>
      </c>
      <c r="C39" s="1"/>
      <c r="D39" s="1"/>
      <c r="E39" s="32"/>
      <c r="F39" s="9"/>
      <c r="G39" s="9"/>
      <c r="H39" s="9"/>
      <c r="I39" s="102"/>
      <c r="J39" s="1"/>
      <c r="K39" s="1"/>
    </row>
    <row r="40" spans="2:11" x14ac:dyDescent="0.35">
      <c r="B40" s="25" t="s">
        <v>15</v>
      </c>
      <c r="C40" s="115">
        <f>F5</f>
        <v>1000000</v>
      </c>
      <c r="D40" s="118">
        <f>I5</f>
        <v>6.0000000000000001E-3</v>
      </c>
      <c r="E40" s="119">
        <f>C40*D40</f>
        <v>6000</v>
      </c>
      <c r="F40" s="30">
        <v>6000</v>
      </c>
      <c r="G40" s="30">
        <v>6000</v>
      </c>
      <c r="H40" s="30">
        <v>6000</v>
      </c>
      <c r="I40" s="30">
        <v>6000</v>
      </c>
      <c r="J40" s="12"/>
      <c r="K40" s="12"/>
    </row>
    <row r="41" spans="2:11" x14ac:dyDescent="0.35">
      <c r="B41" s="16" t="s">
        <v>108</v>
      </c>
      <c r="C41" s="116">
        <f>F17+F18</f>
        <v>752</v>
      </c>
      <c r="D41" s="67">
        <f>Budget!C35</f>
        <v>2</v>
      </c>
      <c r="E41" s="125">
        <f>C41*D41</f>
        <v>1504</v>
      </c>
      <c r="F41" s="29">
        <f>ROUND(E41+E41*0.03,0)</f>
        <v>1549</v>
      </c>
      <c r="G41" s="29">
        <f>ROUND(F41+F41*0.03,0)</f>
        <v>1595</v>
      </c>
      <c r="H41" s="29">
        <f t="shared" ref="H41:I52" si="0">ROUND(G41+G41*0.03,0)</f>
        <v>1643</v>
      </c>
      <c r="I41" s="29">
        <f t="shared" si="0"/>
        <v>1692</v>
      </c>
      <c r="J41" s="1"/>
      <c r="K41" s="1"/>
    </row>
    <row r="42" spans="2:11" x14ac:dyDescent="0.35">
      <c r="B42" s="16" t="s">
        <v>16</v>
      </c>
      <c r="C42" s="131">
        <f>Budget!B36</f>
        <v>205</v>
      </c>
      <c r="D42" s="67">
        <f>Budget!C36</f>
        <v>3.5</v>
      </c>
      <c r="E42" s="125">
        <f>C42*D42</f>
        <v>717.5</v>
      </c>
      <c r="F42" s="29">
        <f t="shared" ref="F42:G48" si="1">ROUND(E42+E42*0.03,0)</f>
        <v>739</v>
      </c>
      <c r="G42" s="29">
        <f t="shared" si="1"/>
        <v>761</v>
      </c>
      <c r="H42" s="29">
        <f t="shared" si="0"/>
        <v>784</v>
      </c>
      <c r="I42" s="29">
        <f t="shared" si="0"/>
        <v>808</v>
      </c>
      <c r="J42" s="1"/>
      <c r="K42" s="1"/>
    </row>
    <row r="43" spans="2:11" x14ac:dyDescent="0.35">
      <c r="B43" s="16" t="s">
        <v>17</v>
      </c>
      <c r="C43" s="131">
        <f>Budget!B37</f>
        <v>205</v>
      </c>
      <c r="D43" s="67">
        <f>Budget!C37</f>
        <v>3.5</v>
      </c>
      <c r="E43" s="125">
        <f>C43*D43</f>
        <v>717.5</v>
      </c>
      <c r="F43" s="29">
        <f t="shared" si="1"/>
        <v>739</v>
      </c>
      <c r="G43" s="29">
        <f t="shared" si="1"/>
        <v>761</v>
      </c>
      <c r="H43" s="29">
        <f t="shared" si="0"/>
        <v>784</v>
      </c>
      <c r="I43" s="29">
        <f t="shared" si="0"/>
        <v>808</v>
      </c>
      <c r="J43" s="1"/>
      <c r="K43" s="1"/>
    </row>
    <row r="44" spans="2:11" x14ac:dyDescent="0.35">
      <c r="B44" s="16" t="s">
        <v>18</v>
      </c>
      <c r="C44" s="164">
        <f>Budget!B38</f>
        <v>1</v>
      </c>
      <c r="D44" s="67">
        <f>Budget!C38</f>
        <v>100</v>
      </c>
      <c r="E44" s="125">
        <f>C44*D44</f>
        <v>100</v>
      </c>
      <c r="F44" s="29">
        <f t="shared" si="1"/>
        <v>103</v>
      </c>
      <c r="G44" s="29">
        <f t="shared" si="1"/>
        <v>106</v>
      </c>
      <c r="H44" s="29">
        <f t="shared" si="0"/>
        <v>109</v>
      </c>
      <c r="I44" s="29">
        <f t="shared" si="0"/>
        <v>112</v>
      </c>
      <c r="J44" s="1"/>
      <c r="K44" s="1"/>
    </row>
    <row r="45" spans="2:11" x14ac:dyDescent="0.35">
      <c r="B45" s="16" t="s">
        <v>77</v>
      </c>
      <c r="C45" s="121"/>
      <c r="D45" s="67">
        <f>Budget!C39</f>
        <v>2800</v>
      </c>
      <c r="E45" s="125">
        <f>D45</f>
        <v>2800</v>
      </c>
      <c r="F45" s="29">
        <f t="shared" si="1"/>
        <v>2884</v>
      </c>
      <c r="G45" s="29">
        <f t="shared" si="1"/>
        <v>2971</v>
      </c>
      <c r="H45" s="29">
        <f t="shared" si="0"/>
        <v>3060</v>
      </c>
      <c r="I45" s="29">
        <f t="shared" si="0"/>
        <v>3152</v>
      </c>
      <c r="J45" s="1"/>
      <c r="K45" s="1"/>
    </row>
    <row r="46" spans="2:11" x14ac:dyDescent="0.35">
      <c r="B46" s="16" t="s">
        <v>78</v>
      </c>
      <c r="C46" s="120">
        <f>ROUND(0.75*F17+0.9*F18,0)</f>
        <v>662</v>
      </c>
      <c r="D46" s="67">
        <f>Budget!C40</f>
        <v>1.25</v>
      </c>
      <c r="E46" s="125">
        <f>C46*D46</f>
        <v>827.5</v>
      </c>
      <c r="F46" s="29">
        <f t="shared" si="1"/>
        <v>852</v>
      </c>
      <c r="G46" s="29">
        <f t="shared" si="1"/>
        <v>878</v>
      </c>
      <c r="H46" s="29">
        <f t="shared" si="0"/>
        <v>904</v>
      </c>
      <c r="I46" s="29">
        <f t="shared" si="0"/>
        <v>931</v>
      </c>
      <c r="J46" s="1"/>
      <c r="K46" s="1"/>
    </row>
    <row r="47" spans="2:11" x14ac:dyDescent="0.35">
      <c r="B47" s="16" t="s">
        <v>111</v>
      </c>
      <c r="C47" s="120"/>
      <c r="D47" s="67">
        <f>Budget!C41</f>
        <v>4400</v>
      </c>
      <c r="E47" s="125">
        <f>D47</f>
        <v>4400</v>
      </c>
      <c r="F47" s="119">
        <f t="shared" si="1"/>
        <v>4532</v>
      </c>
      <c r="G47" s="119">
        <f t="shared" si="1"/>
        <v>4668</v>
      </c>
      <c r="H47" s="119">
        <f t="shared" si="0"/>
        <v>4808</v>
      </c>
      <c r="I47" s="119">
        <f t="shared" si="0"/>
        <v>4952</v>
      </c>
      <c r="J47" s="1"/>
      <c r="K47" s="1"/>
    </row>
    <row r="48" spans="2:11" x14ac:dyDescent="0.35">
      <c r="B48" s="16" t="s">
        <v>66</v>
      </c>
      <c r="C48" s="120"/>
      <c r="D48" s="67">
        <f>Budget!C42</f>
        <v>250</v>
      </c>
      <c r="E48" s="125">
        <f>D48</f>
        <v>250</v>
      </c>
      <c r="F48" s="29">
        <f t="shared" si="1"/>
        <v>258</v>
      </c>
      <c r="G48" s="29">
        <f t="shared" si="1"/>
        <v>266</v>
      </c>
      <c r="H48" s="29">
        <f t="shared" si="0"/>
        <v>274</v>
      </c>
      <c r="I48" s="29">
        <f t="shared" si="0"/>
        <v>282</v>
      </c>
      <c r="J48" s="1"/>
      <c r="K48" s="1"/>
    </row>
    <row r="49" spans="2:11" x14ac:dyDescent="0.35">
      <c r="B49" s="42" t="s">
        <v>68</v>
      </c>
      <c r="C49" s="114"/>
      <c r="D49" s="114"/>
      <c r="E49" s="126"/>
      <c r="F49" s="35"/>
      <c r="G49" s="35"/>
      <c r="H49" s="35"/>
      <c r="I49" s="36"/>
      <c r="J49" s="12"/>
      <c r="K49" s="12"/>
    </row>
    <row r="50" spans="2:11" x14ac:dyDescent="0.35">
      <c r="B50" s="16" t="s">
        <v>48</v>
      </c>
      <c r="C50" s="47">
        <f>Budget!B44</f>
        <v>1</v>
      </c>
      <c r="D50" s="47">
        <f>Budget!C44</f>
        <v>750</v>
      </c>
      <c r="E50" s="127">
        <v>750</v>
      </c>
      <c r="F50" s="29">
        <f>ROUND(E50+E50*0.03,0)</f>
        <v>773</v>
      </c>
      <c r="G50" s="29">
        <f>ROUND(F50+F50*0.03,0)</f>
        <v>796</v>
      </c>
      <c r="H50" s="29">
        <f t="shared" si="0"/>
        <v>820</v>
      </c>
      <c r="I50" s="29">
        <f t="shared" si="0"/>
        <v>845</v>
      </c>
      <c r="J50" s="1"/>
      <c r="K50" s="1"/>
    </row>
    <row r="51" spans="2:11" x14ac:dyDescent="0.35">
      <c r="B51" s="16" t="s">
        <v>49</v>
      </c>
      <c r="C51" s="47">
        <f>Budget!B45</f>
        <v>1</v>
      </c>
      <c r="D51" s="47">
        <f>Budget!C45</f>
        <v>250</v>
      </c>
      <c r="E51" s="127">
        <v>250</v>
      </c>
      <c r="F51" s="29">
        <v>250</v>
      </c>
      <c r="G51" s="29">
        <v>250</v>
      </c>
      <c r="H51" s="29">
        <v>250</v>
      </c>
      <c r="I51" s="29">
        <v>250</v>
      </c>
      <c r="J51" s="1"/>
      <c r="K51" s="1"/>
    </row>
    <row r="52" spans="2:11" x14ac:dyDescent="0.35">
      <c r="B52" s="16" t="s">
        <v>20</v>
      </c>
      <c r="C52" s="47">
        <f>Budget!B46</f>
        <v>1</v>
      </c>
      <c r="D52" s="47">
        <f>Budget!C46</f>
        <v>500</v>
      </c>
      <c r="E52" s="127">
        <v>500</v>
      </c>
      <c r="F52" s="29">
        <f>ROUND(E52+E52*0.03,0)</f>
        <v>515</v>
      </c>
      <c r="G52" s="29">
        <f>ROUND(F52+F52*0.03,0)</f>
        <v>530</v>
      </c>
      <c r="H52" s="29">
        <f t="shared" si="0"/>
        <v>546</v>
      </c>
      <c r="I52" s="29">
        <f t="shared" si="0"/>
        <v>562</v>
      </c>
      <c r="J52" s="1"/>
      <c r="K52" s="1"/>
    </row>
    <row r="53" spans="2:11" x14ac:dyDescent="0.35">
      <c r="B53" s="108" t="s">
        <v>104</v>
      </c>
      <c r="C53" s="130">
        <f>Budget!B47</f>
        <v>1</v>
      </c>
      <c r="D53" s="130">
        <f>Budget!C47</f>
        <v>27</v>
      </c>
      <c r="E53" s="128">
        <v>27</v>
      </c>
      <c r="F53" s="109">
        <v>27</v>
      </c>
      <c r="G53" s="109">
        <v>27</v>
      </c>
      <c r="H53" s="109">
        <v>27</v>
      </c>
      <c r="I53" s="109">
        <v>27</v>
      </c>
      <c r="J53" s="1"/>
      <c r="K53" s="1"/>
    </row>
    <row r="54" spans="2:11" ht="16" thickBot="1" x14ac:dyDescent="0.4">
      <c r="B54" s="27" t="s">
        <v>21</v>
      </c>
      <c r="C54" s="48">
        <f>Budget!B48</f>
        <v>1</v>
      </c>
      <c r="D54" s="48">
        <f>Budget!C48</f>
        <v>100</v>
      </c>
      <c r="E54" s="129">
        <v>100</v>
      </c>
      <c r="F54" s="110">
        <v>100</v>
      </c>
      <c r="G54" s="110">
        <v>100</v>
      </c>
      <c r="H54" s="110">
        <v>100</v>
      </c>
      <c r="I54" s="110">
        <v>100</v>
      </c>
      <c r="J54" s="1"/>
      <c r="K54" s="1"/>
    </row>
    <row r="55" spans="2:11" x14ac:dyDescent="0.35">
      <c r="B55" s="3" t="s">
        <v>22</v>
      </c>
      <c r="C55" s="3"/>
      <c r="D55" s="3"/>
      <c r="E55" s="10">
        <f>SUM(E40:E54)</f>
        <v>18943.5</v>
      </c>
      <c r="F55" s="10">
        <f>SUM(F40:F54)</f>
        <v>19321</v>
      </c>
      <c r="G55" s="10">
        <f>SUM(G40:G54)</f>
        <v>19709</v>
      </c>
      <c r="H55" s="10">
        <f>SUM(H40:H54)</f>
        <v>20109</v>
      </c>
      <c r="I55" s="10">
        <f>SUM(I40:I54)</f>
        <v>20521</v>
      </c>
      <c r="J55" s="1"/>
      <c r="K55" s="1"/>
    </row>
    <row r="56" spans="2:11" x14ac:dyDescent="0.35">
      <c r="B56" s="3"/>
      <c r="C56" s="3"/>
      <c r="D56" s="3"/>
      <c r="E56" s="10"/>
      <c r="F56" s="10"/>
      <c r="G56" s="10"/>
      <c r="H56" s="10"/>
      <c r="I56" s="10"/>
      <c r="J56" s="1"/>
      <c r="K56" s="1"/>
    </row>
    <row r="57" spans="2:11" x14ac:dyDescent="0.35">
      <c r="B57" s="3"/>
      <c r="C57" s="3"/>
      <c r="D57" s="3"/>
      <c r="E57" s="10"/>
      <c r="F57" s="10"/>
      <c r="G57" s="10"/>
      <c r="H57" s="10"/>
      <c r="I57" s="10"/>
      <c r="J57" s="1"/>
      <c r="K57" s="1"/>
    </row>
    <row r="58" spans="2:11" x14ac:dyDescent="0.35">
      <c r="B58" s="1"/>
      <c r="C58" s="1"/>
      <c r="D58" s="1"/>
      <c r="E58" s="8"/>
      <c r="F58" s="8"/>
      <c r="G58" s="8"/>
      <c r="H58" s="8"/>
      <c r="I58" s="8"/>
      <c r="J58" s="1"/>
      <c r="K58" s="1"/>
    </row>
    <row r="59" spans="2:11" ht="18.5" x14ac:dyDescent="0.45">
      <c r="B59" s="236" t="s">
        <v>76</v>
      </c>
      <c r="C59" s="236"/>
      <c r="D59" s="236"/>
      <c r="E59" s="236"/>
      <c r="F59" s="236"/>
      <c r="G59" s="236"/>
      <c r="H59" s="236"/>
      <c r="I59" s="236"/>
      <c r="J59" s="1"/>
      <c r="K59" s="1"/>
    </row>
    <row r="60" spans="2:11" ht="16" thickBot="1" x14ac:dyDescent="0.4">
      <c r="B60" s="37"/>
      <c r="C60" s="34" t="s">
        <v>3</v>
      </c>
      <c r="D60" s="33" t="s">
        <v>4</v>
      </c>
      <c r="E60" s="33" t="s">
        <v>5</v>
      </c>
      <c r="F60" s="33" t="s">
        <v>6</v>
      </c>
      <c r="G60" s="33" t="s">
        <v>7</v>
      </c>
      <c r="H60" s="1"/>
      <c r="I60" s="1"/>
      <c r="J60" s="1"/>
      <c r="K60" s="1"/>
    </row>
    <row r="61" spans="2:11" x14ac:dyDescent="0.35">
      <c r="B61" s="25" t="s">
        <v>23</v>
      </c>
      <c r="C61" s="155">
        <f>Budget!$B$56</f>
        <v>0</v>
      </c>
      <c r="D61" s="39">
        <f>C68</f>
        <v>11028.500000000004</v>
      </c>
      <c r="E61" s="39">
        <f>D68</f>
        <v>22912.500000000007</v>
      </c>
      <c r="F61" s="39">
        <f>E68</f>
        <v>34389.500000000015</v>
      </c>
      <c r="G61" s="39">
        <f>F68</f>
        <v>45176.500000000015</v>
      </c>
      <c r="H61" s="1"/>
      <c r="I61" s="1"/>
      <c r="J61" s="1"/>
      <c r="K61" s="1"/>
    </row>
    <row r="62" spans="2:11" x14ac:dyDescent="0.35">
      <c r="B62" s="16" t="s">
        <v>24</v>
      </c>
      <c r="C62" s="38">
        <f>F90</f>
        <v>31800.000000000004</v>
      </c>
      <c r="D62" s="38">
        <f>F90</f>
        <v>31800.000000000004</v>
      </c>
      <c r="E62" s="38">
        <f>F90</f>
        <v>31800.000000000004</v>
      </c>
      <c r="F62" s="38">
        <f>F90</f>
        <v>31800.000000000004</v>
      </c>
      <c r="G62" s="38">
        <f>F90</f>
        <v>31800.000000000004</v>
      </c>
      <c r="H62" s="1"/>
      <c r="I62" s="1"/>
      <c r="J62" s="1"/>
      <c r="K62" s="1"/>
    </row>
    <row r="63" spans="2:11" x14ac:dyDescent="0.35">
      <c r="B63" s="16" t="s">
        <v>25</v>
      </c>
      <c r="C63" s="38"/>
      <c r="D63" s="38"/>
      <c r="E63" s="38"/>
      <c r="F63" s="38"/>
      <c r="G63" s="38"/>
      <c r="H63" s="1"/>
      <c r="I63" s="1"/>
      <c r="J63" s="1"/>
      <c r="K63" s="1"/>
    </row>
    <row r="64" spans="2:11" x14ac:dyDescent="0.35">
      <c r="B64" s="16" t="s">
        <v>64</v>
      </c>
      <c r="C64" s="38">
        <f>E55</f>
        <v>18943.5</v>
      </c>
      <c r="D64" s="38">
        <f>F55</f>
        <v>19321</v>
      </c>
      <c r="E64" s="38">
        <f>G55</f>
        <v>19709</v>
      </c>
      <c r="F64" s="38">
        <f>H55</f>
        <v>20109</v>
      </c>
      <c r="G64" s="38">
        <f>I55</f>
        <v>20521</v>
      </c>
      <c r="H64" s="1"/>
      <c r="I64" s="1"/>
      <c r="J64" s="1"/>
      <c r="K64" s="1"/>
    </row>
    <row r="65" spans="2:11" x14ac:dyDescent="0.35">
      <c r="B65" s="16" t="s">
        <v>65</v>
      </c>
      <c r="C65" s="38">
        <f>G29</f>
        <v>1828</v>
      </c>
      <c r="D65" s="38">
        <f>H29</f>
        <v>595</v>
      </c>
      <c r="E65" s="38">
        <f>I29</f>
        <v>614</v>
      </c>
      <c r="F65" s="38">
        <f>J29</f>
        <v>904</v>
      </c>
      <c r="G65" s="38">
        <f>K29</f>
        <v>651</v>
      </c>
      <c r="H65" s="1"/>
      <c r="I65" s="1"/>
      <c r="J65" s="1"/>
      <c r="K65" s="1"/>
    </row>
    <row r="66" spans="2:11" x14ac:dyDescent="0.35">
      <c r="B66" s="16" t="s">
        <v>28</v>
      </c>
      <c r="C66" s="38">
        <f>C64+C65</f>
        <v>20771.5</v>
      </c>
      <c r="D66" s="38">
        <f>D64+D65</f>
        <v>19916</v>
      </c>
      <c r="E66" s="38">
        <f>E64+E65</f>
        <v>20323</v>
      </c>
      <c r="F66" s="38">
        <f>F64+F65</f>
        <v>21013</v>
      </c>
      <c r="G66" s="38">
        <f>G64+G65</f>
        <v>21172</v>
      </c>
      <c r="H66" s="1"/>
      <c r="I66" s="1"/>
      <c r="J66" s="1"/>
      <c r="K66" s="1"/>
    </row>
    <row r="67" spans="2:11" x14ac:dyDescent="0.35">
      <c r="B67" s="16" t="s">
        <v>26</v>
      </c>
      <c r="C67" s="38">
        <f>C62-C66</f>
        <v>11028.500000000004</v>
      </c>
      <c r="D67" s="38">
        <f>D62-D66</f>
        <v>11884.000000000004</v>
      </c>
      <c r="E67" s="38">
        <f>E62-E66</f>
        <v>11477.000000000004</v>
      </c>
      <c r="F67" s="38">
        <f>F62-F66</f>
        <v>10787.000000000004</v>
      </c>
      <c r="G67" s="38">
        <f>G62-G66</f>
        <v>10628.000000000004</v>
      </c>
      <c r="H67" s="1"/>
      <c r="I67" s="1"/>
      <c r="J67" s="1"/>
      <c r="K67" s="1"/>
    </row>
    <row r="68" spans="2:11" x14ac:dyDescent="0.35">
      <c r="B68" s="16" t="s">
        <v>27</v>
      </c>
      <c r="C68" s="38">
        <f>C61+C67</f>
        <v>11028.500000000004</v>
      </c>
      <c r="D68" s="38">
        <f>D61+D67</f>
        <v>22912.500000000007</v>
      </c>
      <c r="E68" s="38">
        <f>E61+E67</f>
        <v>34389.500000000015</v>
      </c>
      <c r="F68" s="38">
        <f>F61+F67</f>
        <v>45176.500000000015</v>
      </c>
      <c r="G68" s="38">
        <f>G61+G67</f>
        <v>55804.500000000015</v>
      </c>
      <c r="H68" s="1"/>
      <c r="I68" s="1"/>
      <c r="J68" s="1"/>
      <c r="K68" s="1"/>
    </row>
    <row r="69" spans="2:11" x14ac:dyDescent="0.35">
      <c r="B69" s="7"/>
      <c r="C69" s="7"/>
      <c r="D69" s="7"/>
      <c r="E69" s="40"/>
      <c r="F69" s="40"/>
      <c r="G69" s="40"/>
      <c r="H69" s="40"/>
      <c r="I69" s="40"/>
      <c r="J69" s="1"/>
      <c r="K69" s="1"/>
    </row>
    <row r="70" spans="2:11" ht="21.5" x14ac:dyDescent="0.75">
      <c r="B70" s="107"/>
      <c r="C70" s="107"/>
      <c r="D70" s="107"/>
      <c r="E70" s="244" t="s">
        <v>118</v>
      </c>
      <c r="F70" s="244"/>
      <c r="G70" s="1"/>
      <c r="H70" s="1"/>
      <c r="I70" s="1"/>
      <c r="J70" s="1"/>
      <c r="K70" s="1"/>
    </row>
    <row r="71" spans="2:11" x14ac:dyDescent="0.35">
      <c r="B71" s="107"/>
      <c r="C71" s="107"/>
      <c r="D71" s="107"/>
      <c r="E71" s="145"/>
      <c r="F71" s="145"/>
      <c r="G71" s="1"/>
      <c r="H71" s="1"/>
      <c r="I71" s="1"/>
      <c r="J71" s="1"/>
      <c r="K71" s="1"/>
    </row>
    <row r="72" spans="2:11" ht="16" thickBot="1" x14ac:dyDescent="0.4">
      <c r="B72" s="23" t="str">
        <f>Budget!A68</f>
        <v>Capital Item</v>
      </c>
      <c r="C72" s="34" t="str">
        <f>Budget!B68</f>
        <v>Unit Cost</v>
      </c>
      <c r="D72" s="33" t="str">
        <f>Budget!C68</f>
        <v>Years of Life</v>
      </c>
      <c r="E72" s="33" t="str">
        <f>Budget!D68</f>
        <v>Year 1</v>
      </c>
      <c r="F72" s="33" t="str">
        <f>Budget!E68</f>
        <v>Year 2</v>
      </c>
      <c r="G72" s="33" t="str">
        <f>Budget!F68</f>
        <v>Year 3</v>
      </c>
      <c r="H72" s="33" t="str">
        <f>Budget!G68</f>
        <v>Year 4</v>
      </c>
      <c r="I72" s="33" t="str">
        <f>Budget!H68</f>
        <v>Year 5</v>
      </c>
      <c r="J72" s="1"/>
      <c r="K72" s="1"/>
    </row>
    <row r="73" spans="2:11" x14ac:dyDescent="0.35">
      <c r="B73" s="25" t="str">
        <f>Budget!A69</f>
        <v>Nursery Bag</v>
      </c>
      <c r="C73" s="144">
        <f>Budget!B69</f>
        <v>7</v>
      </c>
      <c r="D73" s="140">
        <f>Budget!C69</f>
        <v>4</v>
      </c>
      <c r="E73" s="26">
        <f>Budget!D69</f>
        <v>175</v>
      </c>
      <c r="F73" s="26">
        <f>Budget!E69</f>
        <v>180</v>
      </c>
      <c r="G73" s="26">
        <f>Budget!F69</f>
        <v>185</v>
      </c>
      <c r="H73" s="26">
        <f>Budget!G69</f>
        <v>191</v>
      </c>
      <c r="I73" s="26">
        <f>Budget!H69</f>
        <v>197</v>
      </c>
      <c r="J73" s="1"/>
      <c r="K73" s="1"/>
    </row>
    <row r="74" spans="2:11" x14ac:dyDescent="0.35">
      <c r="B74" s="16" t="str">
        <f>Budget!A70</f>
        <v>Growout Bag</v>
      </c>
      <c r="C74" s="144">
        <f>Budget!B70</f>
        <v>6.2</v>
      </c>
      <c r="D74" s="141">
        <f>Budget!C70</f>
        <v>10</v>
      </c>
      <c r="E74" s="26">
        <f>Budget!D70</f>
        <v>404</v>
      </c>
      <c r="F74" s="26">
        <f>Budget!E70</f>
        <v>416</v>
      </c>
      <c r="G74" s="26">
        <f>Budget!F70</f>
        <v>428</v>
      </c>
      <c r="H74" s="26">
        <f>Budget!G70</f>
        <v>441</v>
      </c>
      <c r="I74" s="26">
        <f>Budget!H70</f>
        <v>454</v>
      </c>
      <c r="J74" s="1"/>
      <c r="K74" s="1"/>
    </row>
    <row r="75" spans="2:11" x14ac:dyDescent="0.35">
      <c r="B75" s="16" t="str">
        <f>Budget!A71</f>
        <v>Wet Suit</v>
      </c>
      <c r="C75" s="144">
        <f>Budget!B71</f>
        <v>250</v>
      </c>
      <c r="D75" s="141">
        <f>Budget!C71</f>
        <v>3</v>
      </c>
      <c r="E75" s="24">
        <f>Budget!D71</f>
        <v>83.333333333333329</v>
      </c>
      <c r="F75" s="24">
        <f>Budget!E71</f>
        <v>86</v>
      </c>
      <c r="G75" s="24">
        <f>Budget!F71</f>
        <v>89</v>
      </c>
      <c r="H75" s="24">
        <f>Budget!G71</f>
        <v>92</v>
      </c>
      <c r="I75" s="24">
        <f>Budget!H71</f>
        <v>95</v>
      </c>
      <c r="J75" s="1"/>
      <c r="K75" s="1"/>
    </row>
    <row r="76" spans="2:11" x14ac:dyDescent="0.35">
      <c r="B76" s="16" t="str">
        <f>Budget!A72</f>
        <v>Boat</v>
      </c>
      <c r="C76" s="144">
        <f>Budget!B72</f>
        <v>18000</v>
      </c>
      <c r="D76" s="141">
        <f>Budget!C72</f>
        <v>7</v>
      </c>
      <c r="E76" s="24">
        <f>Budget!D72</f>
        <v>0</v>
      </c>
      <c r="F76" s="24">
        <f>Budget!E72</f>
        <v>0</v>
      </c>
      <c r="G76" s="24">
        <f>Budget!F72</f>
        <v>0</v>
      </c>
      <c r="H76" s="24">
        <f>Budget!G72</f>
        <v>0</v>
      </c>
      <c r="I76" s="24">
        <f>Budget!H72</f>
        <v>0</v>
      </c>
      <c r="J76" s="1"/>
      <c r="K76" s="1"/>
    </row>
    <row r="77" spans="2:11" x14ac:dyDescent="0.35">
      <c r="B77" s="16" t="str">
        <f>Budget!A73</f>
        <v>Truck</v>
      </c>
      <c r="C77" s="144">
        <f>Budget!B73</f>
        <v>28000</v>
      </c>
      <c r="D77" s="141">
        <f>Budget!C73</f>
        <v>10</v>
      </c>
      <c r="E77" s="24">
        <f>Budget!D73</f>
        <v>0</v>
      </c>
      <c r="F77" s="24">
        <f>Budget!E73</f>
        <v>0</v>
      </c>
      <c r="G77" s="24">
        <f>Budget!F73</f>
        <v>0</v>
      </c>
      <c r="H77" s="24">
        <f>Budget!G73</f>
        <v>0</v>
      </c>
      <c r="I77" s="24">
        <f>Budget!H73</f>
        <v>0</v>
      </c>
      <c r="J77" s="1"/>
      <c r="K77" s="1"/>
    </row>
    <row r="78" spans="2:11" x14ac:dyDescent="0.35">
      <c r="B78" s="16" t="str">
        <f>Budget!A74</f>
        <v>Motor</v>
      </c>
      <c r="C78" s="144">
        <f>Budget!B74</f>
        <v>10000</v>
      </c>
      <c r="D78" s="141">
        <f>Budget!C74</f>
        <v>3</v>
      </c>
      <c r="E78" s="24">
        <f>Budget!D74</f>
        <v>0</v>
      </c>
      <c r="F78" s="24">
        <f>Budget!E74</f>
        <v>0</v>
      </c>
      <c r="G78" s="24">
        <f>Budget!F74</f>
        <v>0</v>
      </c>
      <c r="H78" s="24">
        <f>Budget!G74</f>
        <v>0</v>
      </c>
      <c r="I78" s="24">
        <f>Budget!H74</f>
        <v>0</v>
      </c>
      <c r="J78" s="1"/>
      <c r="K78" s="1"/>
    </row>
    <row r="79" spans="2:11" ht="44" thickBot="1" x14ac:dyDescent="0.4">
      <c r="B79" s="98" t="str">
        <f>Budget!A75</f>
        <v>Winch/Davit/Boom/Pulley/Batteries</v>
      </c>
      <c r="C79" s="129">
        <f>Budget!B75</f>
        <v>1000</v>
      </c>
      <c r="D79" s="142">
        <f>Budget!C75</f>
        <v>5</v>
      </c>
      <c r="E79" s="28">
        <f>Budget!D75</f>
        <v>200</v>
      </c>
      <c r="F79" s="28">
        <f>Budget!E75</f>
        <v>206</v>
      </c>
      <c r="G79" s="28">
        <f>Budget!F75</f>
        <v>212</v>
      </c>
      <c r="H79" s="28">
        <f>Budget!G75</f>
        <v>218</v>
      </c>
      <c r="I79" s="28">
        <f>Budget!H75</f>
        <v>225</v>
      </c>
      <c r="J79" s="1"/>
      <c r="K79" s="1"/>
    </row>
    <row r="80" spans="2:11" x14ac:dyDescent="0.35">
      <c r="B80" s="5" t="str">
        <f>Budget!A76</f>
        <v xml:space="preserve">Total Investment </v>
      </c>
      <c r="C80" s="6">
        <f>Budget!B76</f>
        <v>0</v>
      </c>
      <c r="D80" s="7">
        <f>Budget!C76</f>
        <v>0</v>
      </c>
      <c r="E80" s="15">
        <f>Budget!D76</f>
        <v>862.33333333333337</v>
      </c>
      <c r="F80" s="15">
        <f>Budget!E76</f>
        <v>888</v>
      </c>
      <c r="G80" s="15">
        <f>Budget!F76</f>
        <v>914</v>
      </c>
      <c r="H80" s="15">
        <f>Budget!G76</f>
        <v>942</v>
      </c>
      <c r="I80" s="15">
        <f>Budget!H76</f>
        <v>971</v>
      </c>
      <c r="J80" s="1"/>
      <c r="K80" s="1"/>
    </row>
    <row r="81" spans="2:11" x14ac:dyDescent="0.35">
      <c r="B81" s="7"/>
      <c r="C81" s="7"/>
      <c r="D81" s="7"/>
      <c r="E81" s="40"/>
      <c r="F81" s="40"/>
      <c r="G81" s="40"/>
      <c r="H81" s="40"/>
      <c r="I81" s="40"/>
      <c r="J81" s="1"/>
      <c r="K81" s="1"/>
    </row>
    <row r="82" spans="2:11" x14ac:dyDescent="0.35">
      <c r="B82" s="1"/>
      <c r="C82" s="1"/>
      <c r="D82" s="1"/>
      <c r="E82" s="4"/>
      <c r="F82" s="1"/>
      <c r="G82" s="1"/>
      <c r="H82" s="1"/>
      <c r="I82" s="1"/>
      <c r="J82" s="1"/>
      <c r="K82" s="1"/>
    </row>
    <row r="83" spans="2:11" ht="18.5" x14ac:dyDescent="0.45">
      <c r="B83" s="236" t="s">
        <v>75</v>
      </c>
      <c r="C83" s="236"/>
      <c r="D83" s="236"/>
      <c r="E83" s="236"/>
      <c r="F83" s="236"/>
      <c r="G83" s="236"/>
      <c r="H83" s="143"/>
      <c r="I83" s="143"/>
      <c r="J83" s="1"/>
      <c r="K83" s="1"/>
    </row>
    <row r="84" spans="2:11" ht="16" thickBot="1" x14ac:dyDescent="0.4">
      <c r="B84" s="33" t="s">
        <v>29</v>
      </c>
      <c r="C84" s="33"/>
      <c r="D84" s="34" t="s">
        <v>30</v>
      </c>
      <c r="E84" s="33" t="s">
        <v>31</v>
      </c>
      <c r="F84" s="33" t="s">
        <v>32</v>
      </c>
      <c r="G84" s="1"/>
      <c r="H84" s="1"/>
      <c r="I84" s="1"/>
      <c r="J84" s="1"/>
      <c r="K84" s="1"/>
    </row>
    <row r="85" spans="2:11" x14ac:dyDescent="0.35">
      <c r="B85" s="31" t="s">
        <v>33</v>
      </c>
      <c r="C85" s="31"/>
      <c r="D85" s="6"/>
      <c r="E85" s="7"/>
      <c r="F85" s="7"/>
      <c r="G85" s="1"/>
      <c r="H85" s="1"/>
      <c r="I85" s="1"/>
      <c r="J85" s="1"/>
      <c r="K85" s="1"/>
    </row>
    <row r="86" spans="2:11" x14ac:dyDescent="0.35">
      <c r="B86" s="7" t="s">
        <v>34</v>
      </c>
      <c r="C86" s="7"/>
      <c r="D86" s="50">
        <f>F13*D90</f>
        <v>420000.00000000006</v>
      </c>
      <c r="E86" s="51">
        <f>I7</f>
        <v>0.06</v>
      </c>
      <c r="F86" s="11">
        <f>E86*D86</f>
        <v>25200.000000000004</v>
      </c>
      <c r="G86" s="1"/>
      <c r="H86" s="1"/>
      <c r="I86" s="1"/>
      <c r="J86" s="1"/>
      <c r="K86" s="1"/>
    </row>
    <row r="87" spans="2:11" x14ac:dyDescent="0.35">
      <c r="B87" s="7" t="s">
        <v>35</v>
      </c>
      <c r="C87" s="7"/>
      <c r="D87" s="50">
        <f>F14*D90</f>
        <v>120000.00000000003</v>
      </c>
      <c r="E87" s="51">
        <f>I8</f>
        <v>0.04</v>
      </c>
      <c r="F87" s="11">
        <f>E87*D87</f>
        <v>4800.0000000000009</v>
      </c>
      <c r="G87" s="1"/>
      <c r="H87" s="1"/>
      <c r="I87" s="1"/>
      <c r="J87" s="1"/>
      <c r="K87" s="1"/>
    </row>
    <row r="88" spans="2:11" x14ac:dyDescent="0.35">
      <c r="B88" s="7" t="s">
        <v>36</v>
      </c>
      <c r="C88" s="7"/>
      <c r="D88" s="50">
        <f>F15*D90</f>
        <v>60000.000000000015</v>
      </c>
      <c r="E88" s="52">
        <f>I9</f>
        <v>0.03</v>
      </c>
      <c r="F88" s="13">
        <f>E88*D88</f>
        <v>1800.0000000000005</v>
      </c>
      <c r="G88" s="1"/>
      <c r="H88" s="1"/>
      <c r="I88" s="1"/>
      <c r="J88" s="1"/>
      <c r="K88" s="1"/>
    </row>
    <row r="89" spans="2:11" x14ac:dyDescent="0.35">
      <c r="B89" s="261"/>
      <c r="C89" s="261"/>
      <c r="D89" s="261"/>
      <c r="E89" s="261"/>
      <c r="F89" s="261"/>
      <c r="G89" s="261"/>
      <c r="H89" s="1"/>
      <c r="I89" s="1"/>
      <c r="J89" s="1"/>
      <c r="K89" s="1"/>
    </row>
    <row r="90" spans="2:11" x14ac:dyDescent="0.35">
      <c r="B90" s="5" t="s">
        <v>79</v>
      </c>
      <c r="C90" s="5"/>
      <c r="D90" s="50">
        <f>D93*F11</f>
        <v>600000.00000000012</v>
      </c>
      <c r="E90" s="51"/>
      <c r="F90" s="53">
        <f>SUM(F86:F88)</f>
        <v>31800.000000000004</v>
      </c>
      <c r="G90" s="1"/>
      <c r="H90" s="1"/>
      <c r="I90" s="1"/>
      <c r="J90" s="1"/>
      <c r="K90" s="1"/>
    </row>
    <row r="91" spans="2:11" x14ac:dyDescent="0.35">
      <c r="B91" s="261"/>
      <c r="C91" s="261"/>
      <c r="D91" s="261"/>
      <c r="E91" s="261"/>
      <c r="F91" s="261"/>
      <c r="G91" s="261"/>
      <c r="H91" s="1"/>
      <c r="I91" s="1"/>
      <c r="J91" s="1"/>
      <c r="K91" s="1"/>
    </row>
    <row r="92" spans="2:11" x14ac:dyDescent="0.35">
      <c r="B92" s="31" t="s">
        <v>14</v>
      </c>
      <c r="C92" s="31"/>
      <c r="D92" s="31"/>
      <c r="E92" s="50"/>
      <c r="F92" s="51"/>
      <c r="G92" s="11"/>
      <c r="H92" s="1"/>
      <c r="I92" s="1"/>
      <c r="J92" s="1"/>
      <c r="K92" s="1"/>
    </row>
    <row r="93" spans="2:11" x14ac:dyDescent="0.35">
      <c r="B93" s="7" t="s">
        <v>82</v>
      </c>
      <c r="C93" s="7"/>
      <c r="D93" s="50">
        <f>F5</f>
        <v>1000000</v>
      </c>
      <c r="E93" s="52">
        <f>I5</f>
        <v>6.0000000000000001E-3</v>
      </c>
      <c r="F93" s="11">
        <f>E93*D93</f>
        <v>6000</v>
      </c>
      <c r="G93" s="1"/>
      <c r="H93" s="1"/>
      <c r="I93" s="1"/>
      <c r="J93" s="1"/>
      <c r="K93" s="1"/>
    </row>
    <row r="94" spans="2:11" x14ac:dyDescent="0.35">
      <c r="B94" s="7" t="s">
        <v>83</v>
      </c>
      <c r="C94" s="7"/>
      <c r="D94" s="50">
        <f>F18+F17</f>
        <v>752</v>
      </c>
      <c r="E94" s="11">
        <f>D41</f>
        <v>2</v>
      </c>
      <c r="F94" s="11">
        <f>E94*D94</f>
        <v>1504</v>
      </c>
      <c r="G94" s="1"/>
      <c r="H94" s="1"/>
      <c r="I94" s="1"/>
      <c r="J94" s="1"/>
      <c r="K94" s="1"/>
    </row>
    <row r="95" spans="2:11" x14ac:dyDescent="0.35">
      <c r="B95" s="7" t="s">
        <v>84</v>
      </c>
      <c r="C95" s="7"/>
      <c r="D95" s="50">
        <f>C42</f>
        <v>205</v>
      </c>
      <c r="E95" s="51">
        <f>D42</f>
        <v>3.5</v>
      </c>
      <c r="F95" s="11">
        <f>ROUND(E95*D95,0)</f>
        <v>718</v>
      </c>
      <c r="G95" s="1"/>
      <c r="H95" s="1"/>
      <c r="I95" s="1"/>
      <c r="J95" s="1"/>
      <c r="K95" s="1"/>
    </row>
    <row r="96" spans="2:11" x14ac:dyDescent="0.35">
      <c r="B96" s="7" t="s">
        <v>85</v>
      </c>
      <c r="C96" s="7"/>
      <c r="D96" s="50">
        <f>C43</f>
        <v>205</v>
      </c>
      <c r="E96" s="51">
        <f>D43</f>
        <v>3.5</v>
      </c>
      <c r="F96" s="11">
        <f>ROUND(E96*D96,0)</f>
        <v>718</v>
      </c>
      <c r="G96" s="1"/>
      <c r="H96" s="1"/>
      <c r="I96" s="1"/>
      <c r="J96" s="1"/>
      <c r="K96" s="1"/>
    </row>
    <row r="97" spans="2:11" x14ac:dyDescent="0.35">
      <c r="B97" s="7" t="s">
        <v>109</v>
      </c>
      <c r="C97" s="7"/>
      <c r="D97" s="50"/>
      <c r="E97" s="4"/>
      <c r="F97" s="11">
        <f>D45</f>
        <v>2800</v>
      </c>
      <c r="G97" s="1"/>
      <c r="H97" s="1"/>
      <c r="I97" s="1"/>
      <c r="J97" s="1"/>
      <c r="K97" s="1"/>
    </row>
    <row r="98" spans="2:11" x14ac:dyDescent="0.35">
      <c r="B98" s="7" t="s">
        <v>86</v>
      </c>
      <c r="C98" s="7"/>
      <c r="D98" s="50">
        <f>C46</f>
        <v>662</v>
      </c>
      <c r="E98" s="51">
        <f>D46</f>
        <v>1.25</v>
      </c>
      <c r="F98" s="11">
        <f>ROUND(E98*D98,0)</f>
        <v>828</v>
      </c>
      <c r="G98" s="1"/>
      <c r="H98" s="1"/>
      <c r="I98" s="1"/>
      <c r="J98" s="1"/>
      <c r="K98" s="1"/>
    </row>
    <row r="99" spans="2:11" x14ac:dyDescent="0.35">
      <c r="B99" s="7" t="s">
        <v>87</v>
      </c>
      <c r="C99" s="7"/>
      <c r="D99" s="50">
        <f>C44</f>
        <v>1</v>
      </c>
      <c r="E99" s="11">
        <f>D44</f>
        <v>100</v>
      </c>
      <c r="F99" s="11">
        <f>D99*E99</f>
        <v>100</v>
      </c>
      <c r="G99" s="1"/>
      <c r="H99" s="1"/>
      <c r="I99" s="1"/>
      <c r="J99" s="1"/>
      <c r="K99" s="1"/>
    </row>
    <row r="100" spans="2:11" x14ac:dyDescent="0.35">
      <c r="B100" s="7" t="s">
        <v>105</v>
      </c>
      <c r="C100" s="7"/>
      <c r="D100" s="50"/>
      <c r="E100" s="11"/>
      <c r="F100" s="11">
        <f>D47</f>
        <v>4400</v>
      </c>
      <c r="G100" s="1"/>
      <c r="H100" s="1"/>
      <c r="I100" s="1"/>
      <c r="J100" s="1"/>
      <c r="K100" s="1"/>
    </row>
    <row r="101" spans="2:11" x14ac:dyDescent="0.35">
      <c r="B101" s="7" t="s">
        <v>80</v>
      </c>
      <c r="C101" s="7"/>
      <c r="D101" s="50"/>
      <c r="E101" s="51"/>
      <c r="F101" s="13">
        <f>D48</f>
        <v>250</v>
      </c>
      <c r="G101" s="1"/>
      <c r="H101" s="1"/>
      <c r="I101" s="1"/>
      <c r="J101" s="1"/>
      <c r="K101" s="1"/>
    </row>
    <row r="102" spans="2:11" x14ac:dyDescent="0.35">
      <c r="B102" s="5" t="s">
        <v>37</v>
      </c>
      <c r="C102" s="5"/>
      <c r="D102" s="5"/>
      <c r="E102" s="50"/>
      <c r="F102" s="11">
        <f>SUM(F93:F101)</f>
        <v>17318</v>
      </c>
      <c r="G102" s="53"/>
      <c r="H102" s="1"/>
      <c r="I102" s="1"/>
      <c r="J102" s="1"/>
      <c r="K102" s="1"/>
    </row>
    <row r="103" spans="2:11" x14ac:dyDescent="0.35">
      <c r="B103" s="261"/>
      <c r="C103" s="261"/>
      <c r="D103" s="261"/>
      <c r="E103" s="261"/>
      <c r="F103" s="261"/>
      <c r="G103" s="261"/>
      <c r="H103" s="1"/>
      <c r="I103" s="1"/>
      <c r="J103" s="1"/>
      <c r="K103" s="1"/>
    </row>
    <row r="104" spans="2:11" x14ac:dyDescent="0.35">
      <c r="B104" s="31" t="s">
        <v>38</v>
      </c>
      <c r="C104" s="31"/>
      <c r="D104" s="31"/>
      <c r="E104" s="50"/>
      <c r="F104" s="51"/>
      <c r="G104" s="11"/>
      <c r="H104" s="1"/>
      <c r="I104" s="1"/>
      <c r="J104" s="1"/>
      <c r="K104" s="1"/>
    </row>
    <row r="105" spans="2:11" x14ac:dyDescent="0.35">
      <c r="B105" s="123" t="s">
        <v>19</v>
      </c>
      <c r="C105" s="7"/>
      <c r="D105" s="7"/>
      <c r="E105" s="6"/>
      <c r="F105" s="7"/>
      <c r="G105" s="7"/>
      <c r="H105" s="1"/>
      <c r="I105" s="1"/>
      <c r="J105" s="1"/>
      <c r="K105" s="1"/>
    </row>
    <row r="106" spans="2:11" x14ac:dyDescent="0.35">
      <c r="B106" s="7" t="s">
        <v>114</v>
      </c>
      <c r="C106" s="7"/>
      <c r="D106" s="50">
        <f t="shared" ref="D106:E110" si="2">C50</f>
        <v>1</v>
      </c>
      <c r="E106" s="11">
        <f t="shared" si="2"/>
        <v>750</v>
      </c>
      <c r="F106" s="11">
        <f>E106*D106</f>
        <v>750</v>
      </c>
      <c r="G106" s="1"/>
      <c r="H106" s="1"/>
      <c r="I106" s="1"/>
      <c r="J106" s="1"/>
      <c r="K106" s="1"/>
    </row>
    <row r="107" spans="2:11" x14ac:dyDescent="0.35">
      <c r="B107" s="7" t="s">
        <v>115</v>
      </c>
      <c r="C107" s="7"/>
      <c r="D107" s="50">
        <f t="shared" si="2"/>
        <v>1</v>
      </c>
      <c r="E107" s="11">
        <f t="shared" si="2"/>
        <v>250</v>
      </c>
      <c r="F107" s="11">
        <f>D107*E107</f>
        <v>250</v>
      </c>
      <c r="G107" s="1"/>
      <c r="H107" s="1"/>
      <c r="I107" s="1"/>
      <c r="J107" s="1"/>
      <c r="K107" s="1"/>
    </row>
    <row r="108" spans="2:11" x14ac:dyDescent="0.35">
      <c r="B108" s="7" t="s">
        <v>81</v>
      </c>
      <c r="C108" s="7"/>
      <c r="D108" s="50">
        <f t="shared" si="2"/>
        <v>1</v>
      </c>
      <c r="E108" s="11">
        <f t="shared" si="2"/>
        <v>500</v>
      </c>
      <c r="F108" s="11">
        <f>E108*D108</f>
        <v>500</v>
      </c>
      <c r="G108" s="1"/>
      <c r="H108" s="1"/>
      <c r="I108" s="1"/>
      <c r="J108" s="1"/>
      <c r="K108" s="1"/>
    </row>
    <row r="109" spans="2:11" x14ac:dyDescent="0.35">
      <c r="B109" s="7" t="s">
        <v>112</v>
      </c>
      <c r="C109" s="7"/>
      <c r="D109" s="50">
        <f t="shared" si="2"/>
        <v>1</v>
      </c>
      <c r="E109" s="11">
        <f t="shared" si="2"/>
        <v>27</v>
      </c>
      <c r="F109" s="11">
        <f>D109*E109</f>
        <v>27</v>
      </c>
      <c r="G109" s="1"/>
      <c r="H109" s="1"/>
      <c r="I109" s="1"/>
      <c r="J109" s="1"/>
      <c r="K109" s="1"/>
    </row>
    <row r="110" spans="2:11" x14ac:dyDescent="0.35">
      <c r="B110" s="7" t="s">
        <v>113</v>
      </c>
      <c r="C110" s="7"/>
      <c r="D110" s="50">
        <f t="shared" si="2"/>
        <v>1</v>
      </c>
      <c r="E110" s="11">
        <f t="shared" si="2"/>
        <v>100</v>
      </c>
      <c r="F110" s="11">
        <f>E110*D110</f>
        <v>100</v>
      </c>
      <c r="G110" s="1"/>
      <c r="H110" s="1"/>
      <c r="I110" s="1"/>
      <c r="J110" s="1"/>
      <c r="K110" s="1"/>
    </row>
    <row r="111" spans="2:11" x14ac:dyDescent="0.35">
      <c r="B111" s="261"/>
      <c r="C111" s="261"/>
      <c r="D111" s="261"/>
      <c r="E111" s="261"/>
      <c r="F111" s="261"/>
      <c r="G111" s="261"/>
      <c r="H111" s="1"/>
      <c r="I111" s="1"/>
      <c r="J111" s="1"/>
      <c r="K111" s="1"/>
    </row>
    <row r="112" spans="2:11" x14ac:dyDescent="0.35">
      <c r="B112" s="7" t="s">
        <v>39</v>
      </c>
      <c r="C112" s="7"/>
      <c r="D112" s="7"/>
      <c r="E112" s="6"/>
      <c r="F112" s="11">
        <f>ROUND(AVERAGE(G29:K29),0)</f>
        <v>918</v>
      </c>
      <c r="G112" s="1"/>
      <c r="H112" s="1"/>
      <c r="I112" s="1"/>
      <c r="J112" s="1"/>
      <c r="K112" s="1"/>
    </row>
    <row r="113" spans="2:11" x14ac:dyDescent="0.35">
      <c r="B113" s="7" t="s">
        <v>40</v>
      </c>
      <c r="C113" s="7"/>
      <c r="D113" s="7"/>
      <c r="E113" s="6"/>
      <c r="F113" s="13">
        <f>AVERAGE(E80:I80)</f>
        <v>915.46666666666681</v>
      </c>
      <c r="G113" s="1"/>
      <c r="H113" s="1"/>
      <c r="I113" s="1"/>
      <c r="J113" s="1"/>
      <c r="K113" s="1"/>
    </row>
    <row r="114" spans="2:11" x14ac:dyDescent="0.35">
      <c r="B114" s="5" t="s">
        <v>41</v>
      </c>
      <c r="C114" s="5"/>
      <c r="D114" s="5"/>
      <c r="E114" s="6"/>
      <c r="F114" s="53">
        <f>SUM(F106:F113)</f>
        <v>3460.4666666666667</v>
      </c>
      <c r="G114" s="1"/>
      <c r="H114" s="1"/>
      <c r="I114" s="1"/>
      <c r="J114" s="1"/>
      <c r="K114" s="1"/>
    </row>
    <row r="115" spans="2:11" x14ac:dyDescent="0.35">
      <c r="B115" s="5"/>
      <c r="C115" s="5"/>
      <c r="D115" s="5"/>
      <c r="E115" s="6"/>
      <c r="F115" s="53"/>
      <c r="G115" s="1"/>
      <c r="H115" s="1"/>
      <c r="I115" s="1"/>
      <c r="J115" s="1"/>
      <c r="K115" s="1"/>
    </row>
    <row r="116" spans="2:11" x14ac:dyDescent="0.35">
      <c r="B116" s="31" t="s">
        <v>90</v>
      </c>
      <c r="C116" s="31"/>
      <c r="D116" s="31"/>
      <c r="E116" s="6"/>
      <c r="F116" s="53">
        <f>F114+F102</f>
        <v>20778.466666666667</v>
      </c>
      <c r="G116" s="1"/>
      <c r="H116" s="1"/>
      <c r="I116" s="1"/>
      <c r="J116" s="1"/>
      <c r="K116" s="1"/>
    </row>
    <row r="117" spans="2:11" x14ac:dyDescent="0.35">
      <c r="B117" s="31"/>
      <c r="C117" s="31"/>
      <c r="D117" s="31"/>
      <c r="E117" s="6"/>
      <c r="F117" s="11"/>
      <c r="G117" s="1"/>
      <c r="H117" s="1"/>
      <c r="I117" s="1"/>
      <c r="J117" s="1"/>
      <c r="K117" s="1"/>
    </row>
    <row r="118" spans="2:11" x14ac:dyDescent="0.35">
      <c r="B118" s="31" t="s">
        <v>122</v>
      </c>
      <c r="C118" s="31"/>
      <c r="D118" s="31"/>
      <c r="E118" s="6"/>
      <c r="F118" s="11"/>
      <c r="G118" s="1"/>
      <c r="H118" s="1"/>
      <c r="I118" s="1"/>
      <c r="J118" s="1"/>
      <c r="K118" s="1"/>
    </row>
    <row r="119" spans="2:11" x14ac:dyDescent="0.35">
      <c r="B119" s="123" t="s">
        <v>123</v>
      </c>
      <c r="C119" s="31"/>
      <c r="D119" s="31"/>
      <c r="E119" s="6"/>
      <c r="F119" s="11"/>
      <c r="G119" s="1"/>
      <c r="H119" s="1"/>
      <c r="I119" s="1"/>
      <c r="J119" s="1"/>
      <c r="K119" s="1"/>
    </row>
    <row r="120" spans="2:11" x14ac:dyDescent="0.35">
      <c r="B120" s="5" t="s">
        <v>119</v>
      </c>
      <c r="C120" s="31"/>
      <c r="D120" s="31"/>
      <c r="E120" s="6"/>
      <c r="F120" s="11">
        <f>F90-(F116-F113)</f>
        <v>11937.000000000004</v>
      </c>
      <c r="G120" s="1"/>
      <c r="H120" s="1"/>
      <c r="I120" s="1"/>
      <c r="J120" s="1"/>
      <c r="K120" s="1"/>
    </row>
    <row r="121" spans="2:11" x14ac:dyDescent="0.35">
      <c r="B121" s="5" t="s">
        <v>120</v>
      </c>
      <c r="C121" s="31"/>
      <c r="D121" s="31"/>
      <c r="E121" s="6"/>
      <c r="F121" s="157">
        <f>(F116-F113)/D90</f>
        <v>3.3104999999999996E-2</v>
      </c>
      <c r="G121" s="1"/>
      <c r="H121" s="1"/>
      <c r="I121" s="1"/>
      <c r="J121" s="1"/>
      <c r="K121" s="1"/>
    </row>
    <row r="122" spans="2:11" x14ac:dyDescent="0.35">
      <c r="B122" s="5" t="s">
        <v>121</v>
      </c>
      <c r="C122" s="31"/>
      <c r="D122" s="31"/>
      <c r="E122" s="6"/>
      <c r="F122" s="55">
        <f>((F116-F113)/(E86*(D86/D90)+E87*(D87/D90)+E88*(D88/D90)))/D93</f>
        <v>0.37477358490566037</v>
      </c>
      <c r="G122" s="1"/>
      <c r="H122" s="1"/>
      <c r="I122" s="1"/>
      <c r="J122" s="1"/>
      <c r="K122" s="1"/>
    </row>
    <row r="123" spans="2:11" x14ac:dyDescent="0.35">
      <c r="B123" s="5"/>
      <c r="C123" s="31"/>
      <c r="D123" s="31"/>
      <c r="E123" s="6"/>
      <c r="F123" s="55"/>
      <c r="G123" s="1"/>
      <c r="H123" s="1"/>
      <c r="I123" s="1"/>
      <c r="J123" s="1"/>
      <c r="K123" s="1"/>
    </row>
    <row r="124" spans="2:11" x14ac:dyDescent="0.35">
      <c r="B124" s="158" t="s">
        <v>90</v>
      </c>
      <c r="C124" s="156"/>
      <c r="D124" s="156"/>
      <c r="E124" s="156"/>
      <c r="F124" s="156"/>
      <c r="G124" s="156"/>
      <c r="H124" s="1"/>
      <c r="I124" s="1"/>
      <c r="J124" s="1"/>
      <c r="K124" s="1"/>
    </row>
    <row r="125" spans="2:11" x14ac:dyDescent="0.35">
      <c r="B125" s="5" t="s">
        <v>42</v>
      </c>
      <c r="C125" s="5"/>
      <c r="D125" s="5"/>
      <c r="E125" s="6"/>
      <c r="F125" s="11">
        <f>F90-F116</f>
        <v>11021.533333333336</v>
      </c>
      <c r="G125" s="1"/>
      <c r="H125" s="1"/>
      <c r="I125" s="1"/>
      <c r="J125" s="1"/>
      <c r="K125" s="1"/>
    </row>
    <row r="126" spans="2:11" x14ac:dyDescent="0.35">
      <c r="B126" s="5" t="s">
        <v>43</v>
      </c>
      <c r="C126" s="5"/>
      <c r="D126" s="5"/>
      <c r="E126" s="6"/>
      <c r="F126" s="54">
        <f>F116/D90</f>
        <v>3.4630777777777774E-2</v>
      </c>
      <c r="G126" s="1"/>
      <c r="H126" s="1"/>
      <c r="I126" s="1"/>
      <c r="J126" s="1"/>
      <c r="K126" s="1"/>
    </row>
    <row r="127" spans="2:11" x14ac:dyDescent="0.35">
      <c r="B127" s="5" t="s">
        <v>44</v>
      </c>
      <c r="C127" s="5"/>
      <c r="D127" s="5"/>
      <c r="E127" s="6"/>
      <c r="F127" s="55">
        <f>(F116/(E86*(D86/D90)+E87*(D87/D90)+E88*(D88/D90)))/D93</f>
        <v>0.39204654088050317</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 allowBlank="1" showInputMessage="1" showErrorMessage="1" sqref="I7:I9 I5 F6:F7 F9:F11 F13:F14">
      <formula1>0</formula1>
    </dataValidation>
    <dataValidation type="whole" operator="greaterThan" allowBlank="1" showInputMessage="1" showErrorMessage="1" sqref="C22:C28 D24:D28 E24 F53:I54 E50:E54 F5 E40:E41 F47:I47 E43:E48 D75:D79 C73:C79">
      <formula1>0</formula1>
    </dataValidation>
    <dataValidation type="whole" allowBlank="1" showInputMessage="1" showErrorMessage="1" sqref="E25:E28">
      <formula1>0</formula1>
      <formula2>1</formula2>
    </dataValidation>
    <dataValidation type="decimal" operator="greaterThanOrEqual" allowBlank="1" showInputMessage="1" showErrorMessage="1" sqref="F15">
      <formula1>0</formula1>
    </dataValidation>
  </dataValidations>
  <pageMargins left="0.75" right="0.75" top="1" bottom="1" header="0.5" footer="0.5"/>
  <pageSetup orientation="portrait" horizontalDpi="4294967292" verticalDpi="4294967292"/>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27"/>
  <sheetViews>
    <sheetView topLeftCell="A61" workbookViewId="0">
      <selection activeCell="D79" sqref="D79"/>
    </sheetView>
  </sheetViews>
  <sheetFormatPr defaultColWidth="11" defaultRowHeight="15.5" x14ac:dyDescent="0.35"/>
  <sheetData>
    <row r="3" spans="2:11" ht="16" thickBot="1" x14ac:dyDescent="0.4">
      <c r="B3" s="1"/>
      <c r="C3" s="1"/>
      <c r="D3" s="1"/>
      <c r="E3" s="66"/>
      <c r="F3" s="37"/>
      <c r="G3" s="7"/>
      <c r="H3" s="1"/>
      <c r="I3" s="1"/>
      <c r="J3" s="1"/>
      <c r="K3" s="1"/>
    </row>
    <row r="4" spans="2:11" x14ac:dyDescent="0.35">
      <c r="B4" s="1"/>
      <c r="C4" s="1"/>
      <c r="D4" s="18" t="s">
        <v>51</v>
      </c>
      <c r="E4" s="117"/>
      <c r="F4" s="19" t="s">
        <v>50</v>
      </c>
      <c r="G4" s="1"/>
      <c r="H4" s="18" t="s">
        <v>53</v>
      </c>
      <c r="I4" s="19" t="s">
        <v>54</v>
      </c>
      <c r="J4" s="1"/>
      <c r="K4" s="1"/>
    </row>
    <row r="5" spans="2:11" x14ac:dyDescent="0.35">
      <c r="B5" s="1"/>
      <c r="C5" s="1"/>
      <c r="D5" s="239" t="s">
        <v>73</v>
      </c>
      <c r="E5" s="240"/>
      <c r="F5" s="56">
        <f>Budget!E5</f>
        <v>1000000</v>
      </c>
      <c r="G5" s="1"/>
      <c r="H5" s="22" t="s">
        <v>46</v>
      </c>
      <c r="I5" s="62">
        <f>Budget!H5</f>
        <v>6.0000000000000001E-3</v>
      </c>
      <c r="J5" s="1"/>
      <c r="K5" s="1"/>
    </row>
    <row r="6" spans="2:11" x14ac:dyDescent="0.35">
      <c r="B6" s="1"/>
      <c r="C6" s="1"/>
      <c r="D6" s="247" t="s">
        <v>60</v>
      </c>
      <c r="E6" s="248"/>
      <c r="F6" s="57">
        <f>Budget!E6</f>
        <v>10000</v>
      </c>
      <c r="G6" s="1"/>
      <c r="H6" s="43" t="s">
        <v>47</v>
      </c>
      <c r="I6" s="21">
        <f>Budget!H6</f>
        <v>0</v>
      </c>
      <c r="J6" s="1"/>
      <c r="K6" s="1"/>
    </row>
    <row r="7" spans="2:11" x14ac:dyDescent="0.35">
      <c r="B7" s="1"/>
      <c r="C7" s="1"/>
      <c r="D7" s="239" t="s">
        <v>55</v>
      </c>
      <c r="E7" s="240"/>
      <c r="F7" s="82">
        <f>Budget!E7</f>
        <v>1150</v>
      </c>
      <c r="G7" s="1"/>
      <c r="H7" s="20" t="s">
        <v>67</v>
      </c>
      <c r="I7" s="45">
        <f>'Cash Cost Sensitivities (2)'!A9</f>
        <v>0.05</v>
      </c>
      <c r="J7" s="1"/>
      <c r="K7" s="1"/>
    </row>
    <row r="8" spans="2:11" x14ac:dyDescent="0.35">
      <c r="B8" s="1"/>
      <c r="C8" s="1"/>
      <c r="D8" s="239" t="s">
        <v>56</v>
      </c>
      <c r="E8" s="240"/>
      <c r="F8" s="59"/>
      <c r="G8" s="1"/>
      <c r="H8" s="20" t="s">
        <v>62</v>
      </c>
      <c r="I8" s="45">
        <f>'Cash Cost Sensitivities (2)'!B9</f>
        <v>0.03</v>
      </c>
      <c r="J8" s="1"/>
      <c r="K8" s="1"/>
    </row>
    <row r="9" spans="2:11" ht="16" thickBot="1" x14ac:dyDescent="0.4">
      <c r="B9" s="1"/>
      <c r="C9" s="1"/>
      <c r="D9" s="237" t="s">
        <v>57</v>
      </c>
      <c r="E9" s="238"/>
      <c r="F9" s="60">
        <f>Budget!E9</f>
        <v>0.75</v>
      </c>
      <c r="G9" s="1"/>
      <c r="H9" s="44" t="s">
        <v>63</v>
      </c>
      <c r="I9" s="46">
        <f>'Cash Cost Sensitivities (2)'!C9</f>
        <v>2.5000000000000001E-2</v>
      </c>
      <c r="J9" s="1"/>
      <c r="K9" s="1"/>
    </row>
    <row r="10" spans="2:11" x14ac:dyDescent="0.35">
      <c r="B10" s="1"/>
      <c r="C10" s="1"/>
      <c r="D10" s="237" t="s">
        <v>58</v>
      </c>
      <c r="E10" s="238"/>
      <c r="F10" s="60">
        <f>Budget!E10</f>
        <v>0.8</v>
      </c>
      <c r="G10" s="1"/>
      <c r="H10" s="17"/>
      <c r="I10" s="1"/>
      <c r="J10" s="1"/>
      <c r="K10" s="1"/>
    </row>
    <row r="11" spans="2:11" x14ac:dyDescent="0.35">
      <c r="B11" s="1"/>
      <c r="C11" s="1"/>
      <c r="D11" s="237" t="s">
        <v>59</v>
      </c>
      <c r="E11" s="238"/>
      <c r="F11" s="132">
        <f>F9*F10</f>
        <v>0.60000000000000009</v>
      </c>
      <c r="G11" s="1"/>
      <c r="H11" s="138"/>
      <c r="I11" s="139"/>
      <c r="J11" s="1"/>
      <c r="K11" s="1"/>
    </row>
    <row r="12" spans="2:11" x14ac:dyDescent="0.35">
      <c r="B12" s="1"/>
      <c r="C12" s="1"/>
      <c r="D12" s="239" t="s">
        <v>52</v>
      </c>
      <c r="E12" s="240"/>
      <c r="F12" s="241"/>
      <c r="G12" s="1"/>
      <c r="H12" s="1"/>
      <c r="I12" s="1"/>
      <c r="J12" s="1"/>
      <c r="K12" s="1"/>
    </row>
    <row r="13" spans="2:11" x14ac:dyDescent="0.35">
      <c r="B13" s="1"/>
      <c r="C13" s="1"/>
      <c r="D13" s="237" t="s">
        <v>61</v>
      </c>
      <c r="E13" s="238"/>
      <c r="F13" s="60">
        <f>Budget!E13</f>
        <v>0.7</v>
      </c>
      <c r="G13" s="1"/>
      <c r="H13" s="1"/>
      <c r="I13" s="1"/>
      <c r="J13" s="1"/>
      <c r="K13" s="1"/>
    </row>
    <row r="14" spans="2:11" x14ac:dyDescent="0.35">
      <c r="B14" s="1"/>
      <c r="C14" s="1"/>
      <c r="D14" s="237" t="s">
        <v>62</v>
      </c>
      <c r="E14" s="238"/>
      <c r="F14" s="60">
        <f>Budget!E14</f>
        <v>0.2</v>
      </c>
      <c r="G14" s="1"/>
      <c r="H14" s="1"/>
      <c r="I14" s="1"/>
      <c r="J14" s="1"/>
      <c r="K14" s="1"/>
    </row>
    <row r="15" spans="2:11" x14ac:dyDescent="0.35">
      <c r="B15" s="1"/>
      <c r="C15" s="1"/>
      <c r="D15" s="237" t="s">
        <v>63</v>
      </c>
      <c r="E15" s="238"/>
      <c r="F15" s="105">
        <f>Budget!E15</f>
        <v>0.1</v>
      </c>
      <c r="G15" s="1"/>
      <c r="H15" s="1"/>
      <c r="I15" s="1"/>
      <c r="J15" s="1"/>
      <c r="K15" s="1"/>
    </row>
    <row r="16" spans="2:11" x14ac:dyDescent="0.35">
      <c r="B16" s="7"/>
      <c r="C16" s="7"/>
      <c r="D16" s="242" t="s">
        <v>103</v>
      </c>
      <c r="E16" s="243"/>
      <c r="F16" s="103"/>
      <c r="G16" s="1"/>
      <c r="H16" s="1"/>
      <c r="I16" s="1"/>
      <c r="J16" s="1"/>
      <c r="K16" s="1"/>
    </row>
    <row r="17" spans="2:11" x14ac:dyDescent="0.35">
      <c r="B17" s="1"/>
      <c r="C17" s="1"/>
      <c r="D17" s="250" t="s">
        <v>57</v>
      </c>
      <c r="E17" s="251"/>
      <c r="F17" s="106">
        <f>ROUND(F5/F6,0)</f>
        <v>100</v>
      </c>
      <c r="G17" s="1"/>
      <c r="H17" s="1"/>
      <c r="I17" s="1"/>
      <c r="J17" s="1"/>
      <c r="K17" s="1"/>
    </row>
    <row r="18" spans="2:11" ht="16" thickBot="1" x14ac:dyDescent="0.4">
      <c r="B18" s="2"/>
      <c r="C18" s="2"/>
      <c r="D18" s="252" t="s">
        <v>102</v>
      </c>
      <c r="E18" s="253"/>
      <c r="F18" s="104">
        <f>ROUND(F5*F9/F7,0)</f>
        <v>652</v>
      </c>
      <c r="G18" s="1"/>
      <c r="H18" s="1"/>
      <c r="I18" s="1"/>
      <c r="J18" s="1"/>
      <c r="K18" s="1"/>
    </row>
    <row r="19" spans="2:11" x14ac:dyDescent="0.35">
      <c r="B19" s="2"/>
      <c r="C19" s="2"/>
      <c r="D19" s="2"/>
      <c r="E19" s="14"/>
      <c r="F19" s="2"/>
      <c r="G19" s="1"/>
      <c r="H19" s="1"/>
      <c r="I19" s="1"/>
      <c r="J19" s="1"/>
      <c r="K19" s="1"/>
    </row>
    <row r="20" spans="2:11" ht="18.5" x14ac:dyDescent="0.45">
      <c r="B20" s="236" t="s">
        <v>12</v>
      </c>
      <c r="C20" s="236"/>
      <c r="D20" s="236"/>
      <c r="E20" s="236"/>
      <c r="F20" s="236"/>
      <c r="G20" s="236"/>
      <c r="H20" s="236"/>
      <c r="I20" s="236"/>
      <c r="J20" s="236"/>
      <c r="K20" s="236"/>
    </row>
    <row r="21" spans="2:11" ht="16" thickBot="1" x14ac:dyDescent="0.4">
      <c r="B21" s="23" t="s">
        <v>0</v>
      </c>
      <c r="C21" s="34" t="s">
        <v>1</v>
      </c>
      <c r="D21" s="33" t="s">
        <v>2</v>
      </c>
      <c r="E21" s="33" t="s">
        <v>72</v>
      </c>
      <c r="F21" s="33" t="s">
        <v>117</v>
      </c>
      <c r="G21" s="33" t="s">
        <v>3</v>
      </c>
      <c r="H21" s="33" t="s">
        <v>4</v>
      </c>
      <c r="I21" s="33" t="s">
        <v>5</v>
      </c>
      <c r="J21" s="33" t="s">
        <v>6</v>
      </c>
      <c r="K21" s="33" t="s">
        <v>7</v>
      </c>
    </row>
    <row r="22" spans="2:11" x14ac:dyDescent="0.35">
      <c r="B22" s="25" t="s">
        <v>8</v>
      </c>
      <c r="C22" s="68">
        <f>Budget!B22</f>
        <v>7</v>
      </c>
      <c r="D22" s="140">
        <f>Budget!C22</f>
        <v>4</v>
      </c>
      <c r="E22" s="146">
        <f>Budget!D22</f>
        <v>25</v>
      </c>
      <c r="F22" s="149">
        <f>Budget!E22</f>
        <v>175</v>
      </c>
      <c r="G22" s="149">
        <f>Budget!F22</f>
        <v>175</v>
      </c>
      <c r="H22" s="149">
        <f>Budget!G22</f>
        <v>180</v>
      </c>
      <c r="I22" s="149">
        <f>Budget!H22</f>
        <v>186</v>
      </c>
      <c r="J22" s="149">
        <f>Budget!I22</f>
        <v>191</v>
      </c>
      <c r="K22" s="149">
        <f>Budget!J22</f>
        <v>197</v>
      </c>
    </row>
    <row r="23" spans="2:11" x14ac:dyDescent="0.35">
      <c r="B23" s="16" t="s">
        <v>9</v>
      </c>
      <c r="C23" s="67">
        <f>Budget!B23</f>
        <v>6.2</v>
      </c>
      <c r="D23" s="141">
        <f>Budget!C23</f>
        <v>10</v>
      </c>
      <c r="E23" s="181">
        <f>Budget!D23</f>
        <v>65</v>
      </c>
      <c r="F23" s="150">
        <f>Budget!E23</f>
        <v>404</v>
      </c>
      <c r="G23" s="150">
        <f>Budget!F23</f>
        <v>403</v>
      </c>
      <c r="H23" s="150">
        <f>Budget!G23</f>
        <v>415</v>
      </c>
      <c r="I23" s="150">
        <f>Budget!H23</f>
        <v>428</v>
      </c>
      <c r="J23" s="150">
        <f>Budget!I23</f>
        <v>440</v>
      </c>
      <c r="K23" s="150">
        <f>Budget!J23</f>
        <v>454</v>
      </c>
    </row>
    <row r="24" spans="2:11" x14ac:dyDescent="0.35">
      <c r="B24" s="16" t="s">
        <v>10</v>
      </c>
      <c r="C24" s="67">
        <f>Budget!B24</f>
        <v>250</v>
      </c>
      <c r="D24" s="141">
        <f>Budget!C24</f>
        <v>3</v>
      </c>
      <c r="E24" s="182">
        <f>Budget!D24</f>
        <v>1</v>
      </c>
      <c r="F24" s="151">
        <f>Budget!E24</f>
        <v>0</v>
      </c>
      <c r="G24" s="150">
        <f>Budget!F24</f>
        <v>250</v>
      </c>
      <c r="H24" s="150">
        <f>Budget!G24</f>
        <v>0</v>
      </c>
      <c r="I24" s="150">
        <f>Budget!H24</f>
        <v>0</v>
      </c>
      <c r="J24" s="150">
        <f>Budget!I24</f>
        <v>273</v>
      </c>
      <c r="K24" s="150">
        <f>Budget!J24</f>
        <v>0</v>
      </c>
    </row>
    <row r="25" spans="2:11" x14ac:dyDescent="0.35">
      <c r="B25" s="16" t="s">
        <v>11</v>
      </c>
      <c r="C25" s="67">
        <f>Budget!B25</f>
        <v>18000</v>
      </c>
      <c r="D25" s="141">
        <f>Budget!C25</f>
        <v>7</v>
      </c>
      <c r="E25" s="141">
        <f>Budget!D25</f>
        <v>0</v>
      </c>
      <c r="F25" s="152">
        <f>Budget!E25</f>
        <v>0</v>
      </c>
      <c r="G25" s="150">
        <f>Budget!F25</f>
        <v>0</v>
      </c>
      <c r="H25" s="150">
        <f>Budget!G25</f>
        <v>0</v>
      </c>
      <c r="I25" s="150">
        <f>Budget!H25</f>
        <v>0</v>
      </c>
      <c r="J25" s="150">
        <f>Budget!I25</f>
        <v>0</v>
      </c>
      <c r="K25" s="150">
        <f>Budget!J25</f>
        <v>0</v>
      </c>
    </row>
    <row r="26" spans="2:11" x14ac:dyDescent="0.35">
      <c r="B26" s="16" t="s">
        <v>69</v>
      </c>
      <c r="C26" s="67">
        <f>Budget!B26</f>
        <v>28000</v>
      </c>
      <c r="D26" s="141">
        <f>Budget!C26</f>
        <v>10</v>
      </c>
      <c r="E26" s="141">
        <f>Budget!D26</f>
        <v>0</v>
      </c>
      <c r="F26" s="152">
        <f>Budget!E26</f>
        <v>0</v>
      </c>
      <c r="G26" s="150">
        <f>Budget!F26</f>
        <v>0</v>
      </c>
      <c r="H26" s="150">
        <f>Budget!G26</f>
        <v>0</v>
      </c>
      <c r="I26" s="150">
        <f>Budget!H26</f>
        <v>0</v>
      </c>
      <c r="J26" s="150">
        <f>Budget!I26</f>
        <v>0</v>
      </c>
      <c r="K26" s="150">
        <f>Budget!J26</f>
        <v>0</v>
      </c>
    </row>
    <row r="27" spans="2:11" x14ac:dyDescent="0.35">
      <c r="B27" s="16" t="s">
        <v>70</v>
      </c>
      <c r="C27" s="67">
        <f>Budget!B27</f>
        <v>10000</v>
      </c>
      <c r="D27" s="141">
        <f>Budget!C27</f>
        <v>3</v>
      </c>
      <c r="E27" s="141">
        <f>Budget!D27</f>
        <v>0</v>
      </c>
      <c r="F27" s="152">
        <f>Budget!E27</f>
        <v>0</v>
      </c>
      <c r="G27" s="150">
        <f>Budget!F27</f>
        <v>0</v>
      </c>
      <c r="H27" s="150">
        <f>Budget!G27</f>
        <v>0</v>
      </c>
      <c r="I27" s="150">
        <f>Budget!H27</f>
        <v>0</v>
      </c>
      <c r="J27" s="150">
        <f>Budget!I27</f>
        <v>0</v>
      </c>
      <c r="K27" s="150">
        <f>Budget!J27</f>
        <v>0</v>
      </c>
    </row>
    <row r="28" spans="2:11" ht="44" thickBot="1" x14ac:dyDescent="0.4">
      <c r="B28" s="98" t="s">
        <v>71</v>
      </c>
      <c r="C28" s="69">
        <f>Budget!B28</f>
        <v>1000</v>
      </c>
      <c r="D28" s="142">
        <f>Budget!C28</f>
        <v>5</v>
      </c>
      <c r="E28" s="142">
        <f>Budget!D28</f>
        <v>1</v>
      </c>
      <c r="F28" s="153">
        <f>Budget!E28</f>
        <v>0</v>
      </c>
      <c r="G28" s="154">
        <f>Budget!F28</f>
        <v>1000</v>
      </c>
      <c r="H28" s="154">
        <f>Budget!G28</f>
        <v>0</v>
      </c>
      <c r="I28" s="154">
        <f>Budget!H28</f>
        <v>0</v>
      </c>
      <c r="J28" s="154">
        <f>Budget!I28</f>
        <v>0</v>
      </c>
      <c r="K28" s="154">
        <f>Budget!J28</f>
        <v>0</v>
      </c>
    </row>
    <row r="29" spans="2:11" x14ac:dyDescent="0.35">
      <c r="B29" s="5" t="s">
        <v>45</v>
      </c>
      <c r="C29" s="6"/>
      <c r="D29" s="7"/>
      <c r="E29" s="7"/>
      <c r="F29" s="15"/>
      <c r="G29" s="15">
        <f>SUM(G22:G28)</f>
        <v>1828</v>
      </c>
      <c r="H29" s="15">
        <f>SUM(H22:H28)</f>
        <v>595</v>
      </c>
      <c r="I29" s="15">
        <f>SUM(I22:I28)</f>
        <v>614</v>
      </c>
      <c r="J29" s="15">
        <f>SUM(J22:J28)</f>
        <v>904</v>
      </c>
      <c r="K29" s="15">
        <f>SUM(K22:K28)</f>
        <v>651</v>
      </c>
    </row>
    <row r="30" spans="2:11" x14ac:dyDescent="0.35">
      <c r="B30" s="1"/>
      <c r="C30" s="1"/>
      <c r="D30" s="1"/>
      <c r="E30" s="4"/>
      <c r="F30" s="1"/>
      <c r="G30" s="1"/>
      <c r="H30" s="1"/>
      <c r="I30" s="1"/>
      <c r="J30" s="1"/>
      <c r="K30" s="1"/>
    </row>
    <row r="31" spans="2:11" x14ac:dyDescent="0.35">
      <c r="B31" s="107"/>
      <c r="C31" s="107"/>
      <c r="D31" s="107"/>
      <c r="E31" s="4"/>
      <c r="F31" s="1"/>
      <c r="G31" s="1"/>
      <c r="H31" s="1"/>
      <c r="I31" s="1"/>
      <c r="J31" s="1"/>
      <c r="K31" s="1"/>
    </row>
    <row r="32" spans="2:11" x14ac:dyDescent="0.35">
      <c r="B32" s="107"/>
      <c r="C32" s="107"/>
      <c r="D32" s="107"/>
      <c r="E32" s="4"/>
      <c r="F32" s="1"/>
      <c r="G32" s="1"/>
      <c r="H32" s="1"/>
      <c r="I32" s="1"/>
      <c r="J32" s="1"/>
      <c r="K32" s="1"/>
    </row>
    <row r="33" spans="2:11" x14ac:dyDescent="0.35">
      <c r="B33" s="107"/>
      <c r="C33" s="107"/>
      <c r="D33" s="107"/>
      <c r="E33" s="4"/>
      <c r="F33" s="1"/>
      <c r="G33" s="1"/>
      <c r="H33" s="1"/>
      <c r="I33" s="1"/>
      <c r="J33" s="1"/>
      <c r="K33" s="1"/>
    </row>
    <row r="34" spans="2:11" x14ac:dyDescent="0.35">
      <c r="B34" s="107"/>
      <c r="C34" s="107"/>
      <c r="D34" s="107"/>
      <c r="E34" s="4"/>
      <c r="F34" s="1"/>
      <c r="G34" s="1"/>
      <c r="H34" s="1"/>
      <c r="I34" s="1"/>
      <c r="J34" s="1"/>
      <c r="K34" s="1"/>
    </row>
    <row r="35" spans="2:11" x14ac:dyDescent="0.35">
      <c r="B35" s="107"/>
      <c r="C35" s="107"/>
      <c r="D35" s="107"/>
      <c r="E35" s="4"/>
      <c r="F35" s="1"/>
      <c r="G35" s="1"/>
      <c r="H35" s="1"/>
      <c r="I35" s="1"/>
      <c r="J35" s="1"/>
      <c r="K35" s="1"/>
    </row>
    <row r="36" spans="2:11" x14ac:dyDescent="0.35">
      <c r="B36" s="107"/>
      <c r="C36" s="107"/>
      <c r="D36" s="107"/>
      <c r="E36" s="4"/>
      <c r="F36" s="1"/>
      <c r="G36" s="1"/>
      <c r="H36" s="1"/>
      <c r="I36" s="1"/>
      <c r="J36" s="1"/>
      <c r="K36" s="1"/>
    </row>
    <row r="37" spans="2:11" ht="18.5" x14ac:dyDescent="0.45">
      <c r="B37" s="236" t="s">
        <v>14</v>
      </c>
      <c r="C37" s="236"/>
      <c r="D37" s="236"/>
      <c r="E37" s="236"/>
      <c r="F37" s="236"/>
      <c r="G37" s="236"/>
      <c r="H37" s="236"/>
      <c r="I37" s="236"/>
      <c r="J37" s="1"/>
      <c r="K37" s="1"/>
    </row>
    <row r="38" spans="2:11" ht="44" thickBot="1" x14ac:dyDescent="0.4">
      <c r="B38" s="33" t="s">
        <v>13</v>
      </c>
      <c r="C38" s="23" t="s">
        <v>107</v>
      </c>
      <c r="D38" s="122" t="s">
        <v>110</v>
      </c>
      <c r="E38" s="34" t="s">
        <v>3</v>
      </c>
      <c r="F38" s="33" t="s">
        <v>4</v>
      </c>
      <c r="G38" s="33" t="s">
        <v>5</v>
      </c>
      <c r="H38" s="33" t="s">
        <v>6</v>
      </c>
      <c r="I38" s="33" t="s">
        <v>7</v>
      </c>
      <c r="J38" s="1"/>
      <c r="K38" s="1"/>
    </row>
    <row r="39" spans="2:11" x14ac:dyDescent="0.35">
      <c r="B39" s="41" t="s">
        <v>14</v>
      </c>
      <c r="C39" s="1"/>
      <c r="D39" s="1"/>
      <c r="E39" s="32"/>
      <c r="F39" s="9"/>
      <c r="G39" s="9"/>
      <c r="H39" s="9"/>
      <c r="I39" s="102"/>
      <c r="J39" s="1"/>
      <c r="K39" s="1"/>
    </row>
    <row r="40" spans="2:11" x14ac:dyDescent="0.35">
      <c r="B40" s="25" t="s">
        <v>15</v>
      </c>
      <c r="C40" s="115">
        <f>F5</f>
        <v>1000000</v>
      </c>
      <c r="D40" s="118">
        <f>I5</f>
        <v>6.0000000000000001E-3</v>
      </c>
      <c r="E40" s="119">
        <f>C40*D40</f>
        <v>6000</v>
      </c>
      <c r="F40" s="30">
        <v>6000</v>
      </c>
      <c r="G40" s="30">
        <v>6000</v>
      </c>
      <c r="H40" s="30">
        <v>6000</v>
      </c>
      <c r="I40" s="30">
        <v>6000</v>
      </c>
      <c r="J40" s="12"/>
      <c r="K40" s="12"/>
    </row>
    <row r="41" spans="2:11" x14ac:dyDescent="0.35">
      <c r="B41" s="16" t="s">
        <v>108</v>
      </c>
      <c r="C41" s="116">
        <f>F17+F18</f>
        <v>752</v>
      </c>
      <c r="D41" s="67">
        <f>Budget!C35</f>
        <v>2</v>
      </c>
      <c r="E41" s="125">
        <f>C41*D41</f>
        <v>1504</v>
      </c>
      <c r="F41" s="29">
        <f>ROUND(E41+E41*0.03,0)</f>
        <v>1549</v>
      </c>
      <c r="G41" s="29">
        <f>ROUND(F41+F41*0.03,0)</f>
        <v>1595</v>
      </c>
      <c r="H41" s="29">
        <f t="shared" ref="H41:I52" si="0">ROUND(G41+G41*0.03,0)</f>
        <v>1643</v>
      </c>
      <c r="I41" s="29">
        <f t="shared" si="0"/>
        <v>1692</v>
      </c>
      <c r="J41" s="1"/>
      <c r="K41" s="1"/>
    </row>
    <row r="42" spans="2:11" x14ac:dyDescent="0.35">
      <c r="B42" s="16" t="s">
        <v>16</v>
      </c>
      <c r="C42" s="131">
        <f>Budget!B36</f>
        <v>205</v>
      </c>
      <c r="D42" s="67">
        <f>Budget!C36</f>
        <v>3.5</v>
      </c>
      <c r="E42" s="125">
        <f>C42*D42</f>
        <v>717.5</v>
      </c>
      <c r="F42" s="29">
        <f t="shared" ref="F42:G48" si="1">ROUND(E42+E42*0.03,0)</f>
        <v>739</v>
      </c>
      <c r="G42" s="29">
        <f t="shared" si="1"/>
        <v>761</v>
      </c>
      <c r="H42" s="29">
        <f t="shared" si="0"/>
        <v>784</v>
      </c>
      <c r="I42" s="29">
        <f t="shared" si="0"/>
        <v>808</v>
      </c>
      <c r="J42" s="1"/>
      <c r="K42" s="1"/>
    </row>
    <row r="43" spans="2:11" x14ac:dyDescent="0.35">
      <c r="B43" s="16" t="s">
        <v>17</v>
      </c>
      <c r="C43" s="131">
        <f>Budget!B37</f>
        <v>205</v>
      </c>
      <c r="D43" s="67">
        <f>Budget!C37</f>
        <v>3.5</v>
      </c>
      <c r="E43" s="125">
        <f>C43*D43</f>
        <v>717.5</v>
      </c>
      <c r="F43" s="29">
        <f t="shared" si="1"/>
        <v>739</v>
      </c>
      <c r="G43" s="29">
        <f t="shared" si="1"/>
        <v>761</v>
      </c>
      <c r="H43" s="29">
        <f t="shared" si="0"/>
        <v>784</v>
      </c>
      <c r="I43" s="29">
        <f t="shared" si="0"/>
        <v>808</v>
      </c>
      <c r="J43" s="1"/>
      <c r="K43" s="1"/>
    </row>
    <row r="44" spans="2:11" x14ac:dyDescent="0.35">
      <c r="B44" s="16" t="s">
        <v>18</v>
      </c>
      <c r="C44" s="164">
        <f>Budget!B38</f>
        <v>1</v>
      </c>
      <c r="D44" s="67">
        <f>Budget!C38</f>
        <v>100</v>
      </c>
      <c r="E44" s="125">
        <f>C44*D44</f>
        <v>100</v>
      </c>
      <c r="F44" s="29">
        <f t="shared" si="1"/>
        <v>103</v>
      </c>
      <c r="G44" s="29">
        <f t="shared" si="1"/>
        <v>106</v>
      </c>
      <c r="H44" s="29">
        <f t="shared" si="0"/>
        <v>109</v>
      </c>
      <c r="I44" s="29">
        <f t="shared" si="0"/>
        <v>112</v>
      </c>
      <c r="J44" s="1"/>
      <c r="K44" s="1"/>
    </row>
    <row r="45" spans="2:11" x14ac:dyDescent="0.35">
      <c r="B45" s="16" t="s">
        <v>77</v>
      </c>
      <c r="C45" s="121"/>
      <c r="D45" s="67">
        <f>Budget!C39</f>
        <v>2800</v>
      </c>
      <c r="E45" s="125">
        <f>D45</f>
        <v>2800</v>
      </c>
      <c r="F45" s="29">
        <f t="shared" si="1"/>
        <v>2884</v>
      </c>
      <c r="G45" s="29">
        <f t="shared" si="1"/>
        <v>2971</v>
      </c>
      <c r="H45" s="29">
        <f t="shared" si="0"/>
        <v>3060</v>
      </c>
      <c r="I45" s="29">
        <f t="shared" si="0"/>
        <v>3152</v>
      </c>
      <c r="J45" s="1"/>
      <c r="K45" s="1"/>
    </row>
    <row r="46" spans="2:11" x14ac:dyDescent="0.35">
      <c r="B46" s="16" t="s">
        <v>78</v>
      </c>
      <c r="C46" s="120">
        <f>ROUND(0.75*F17+0.9*F18,0)</f>
        <v>662</v>
      </c>
      <c r="D46" s="67">
        <f>Budget!C40</f>
        <v>1.25</v>
      </c>
      <c r="E46" s="125">
        <f>C46*D46</f>
        <v>827.5</v>
      </c>
      <c r="F46" s="29">
        <f t="shared" si="1"/>
        <v>852</v>
      </c>
      <c r="G46" s="29">
        <f t="shared" si="1"/>
        <v>878</v>
      </c>
      <c r="H46" s="29">
        <f t="shared" si="0"/>
        <v>904</v>
      </c>
      <c r="I46" s="29">
        <f t="shared" si="0"/>
        <v>931</v>
      </c>
      <c r="J46" s="1"/>
      <c r="K46" s="1"/>
    </row>
    <row r="47" spans="2:11" x14ac:dyDescent="0.35">
      <c r="B47" s="16" t="s">
        <v>111</v>
      </c>
      <c r="C47" s="120"/>
      <c r="D47" s="67">
        <f>Budget!C41</f>
        <v>4400</v>
      </c>
      <c r="E47" s="125">
        <f>D47</f>
        <v>4400</v>
      </c>
      <c r="F47" s="119">
        <f t="shared" si="1"/>
        <v>4532</v>
      </c>
      <c r="G47" s="119">
        <f t="shared" si="1"/>
        <v>4668</v>
      </c>
      <c r="H47" s="119">
        <f t="shared" si="0"/>
        <v>4808</v>
      </c>
      <c r="I47" s="119">
        <f t="shared" si="0"/>
        <v>4952</v>
      </c>
      <c r="J47" s="1"/>
      <c r="K47" s="1"/>
    </row>
    <row r="48" spans="2:11" x14ac:dyDescent="0.35">
      <c r="B48" s="16" t="s">
        <v>66</v>
      </c>
      <c r="C48" s="120"/>
      <c r="D48" s="67">
        <f>Budget!C42</f>
        <v>250</v>
      </c>
      <c r="E48" s="125">
        <f>D48</f>
        <v>250</v>
      </c>
      <c r="F48" s="29">
        <f t="shared" si="1"/>
        <v>258</v>
      </c>
      <c r="G48" s="29">
        <f t="shared" si="1"/>
        <v>266</v>
      </c>
      <c r="H48" s="29">
        <f t="shared" si="0"/>
        <v>274</v>
      </c>
      <c r="I48" s="29">
        <f t="shared" si="0"/>
        <v>282</v>
      </c>
      <c r="J48" s="1"/>
      <c r="K48" s="1"/>
    </row>
    <row r="49" spans="2:11" x14ac:dyDescent="0.35">
      <c r="B49" s="42" t="s">
        <v>68</v>
      </c>
      <c r="C49" s="114"/>
      <c r="D49" s="114"/>
      <c r="E49" s="126"/>
      <c r="F49" s="35"/>
      <c r="G49" s="35"/>
      <c r="H49" s="35"/>
      <c r="I49" s="36"/>
      <c r="J49" s="12"/>
      <c r="K49" s="12"/>
    </row>
    <row r="50" spans="2:11" x14ac:dyDescent="0.35">
      <c r="B50" s="16" t="s">
        <v>48</v>
      </c>
      <c r="C50" s="47">
        <f>Budget!B44</f>
        <v>1</v>
      </c>
      <c r="D50" s="47">
        <f>Budget!C44</f>
        <v>750</v>
      </c>
      <c r="E50" s="127">
        <v>750</v>
      </c>
      <c r="F50" s="29">
        <f>ROUND(E50+E50*0.03,0)</f>
        <v>773</v>
      </c>
      <c r="G50" s="29">
        <f>ROUND(F50+F50*0.03,0)</f>
        <v>796</v>
      </c>
      <c r="H50" s="29">
        <f t="shared" si="0"/>
        <v>820</v>
      </c>
      <c r="I50" s="29">
        <f t="shared" si="0"/>
        <v>845</v>
      </c>
      <c r="J50" s="1"/>
      <c r="K50" s="1"/>
    </row>
    <row r="51" spans="2:11" x14ac:dyDescent="0.35">
      <c r="B51" s="16" t="s">
        <v>49</v>
      </c>
      <c r="C51" s="47">
        <f>Budget!B45</f>
        <v>1</v>
      </c>
      <c r="D51" s="47">
        <f>Budget!C45</f>
        <v>250</v>
      </c>
      <c r="E51" s="127">
        <v>250</v>
      </c>
      <c r="F51" s="29">
        <v>250</v>
      </c>
      <c r="G51" s="29">
        <v>250</v>
      </c>
      <c r="H51" s="29">
        <v>250</v>
      </c>
      <c r="I51" s="29">
        <v>250</v>
      </c>
      <c r="J51" s="1"/>
      <c r="K51" s="1"/>
    </row>
    <row r="52" spans="2:11" x14ac:dyDescent="0.35">
      <c r="B52" s="16" t="s">
        <v>20</v>
      </c>
      <c r="C52" s="47">
        <f>Budget!B46</f>
        <v>1</v>
      </c>
      <c r="D52" s="47">
        <f>Budget!C46</f>
        <v>500</v>
      </c>
      <c r="E52" s="127">
        <v>500</v>
      </c>
      <c r="F52" s="29">
        <f>ROUND(E52+E52*0.03,0)</f>
        <v>515</v>
      </c>
      <c r="G52" s="29">
        <f>ROUND(F52+F52*0.03,0)</f>
        <v>530</v>
      </c>
      <c r="H52" s="29">
        <f t="shared" si="0"/>
        <v>546</v>
      </c>
      <c r="I52" s="29">
        <f t="shared" si="0"/>
        <v>562</v>
      </c>
      <c r="J52" s="1"/>
      <c r="K52" s="1"/>
    </row>
    <row r="53" spans="2:11" x14ac:dyDescent="0.35">
      <c r="B53" s="108" t="s">
        <v>104</v>
      </c>
      <c r="C53" s="130">
        <f>Budget!B47</f>
        <v>1</v>
      </c>
      <c r="D53" s="130">
        <f>Budget!C47</f>
        <v>27</v>
      </c>
      <c r="E53" s="128">
        <v>27</v>
      </c>
      <c r="F53" s="109">
        <v>27</v>
      </c>
      <c r="G53" s="109">
        <v>27</v>
      </c>
      <c r="H53" s="109">
        <v>27</v>
      </c>
      <c r="I53" s="109">
        <v>27</v>
      </c>
      <c r="J53" s="1"/>
      <c r="K53" s="1"/>
    </row>
    <row r="54" spans="2:11" ht="16" thickBot="1" x14ac:dyDescent="0.4">
      <c r="B54" s="27" t="s">
        <v>21</v>
      </c>
      <c r="C54" s="48">
        <f>Budget!B48</f>
        <v>1</v>
      </c>
      <c r="D54" s="48">
        <f>Budget!C48</f>
        <v>100</v>
      </c>
      <c r="E54" s="129">
        <v>100</v>
      </c>
      <c r="F54" s="110">
        <v>100</v>
      </c>
      <c r="G54" s="110">
        <v>100</v>
      </c>
      <c r="H54" s="110">
        <v>100</v>
      </c>
      <c r="I54" s="110">
        <v>100</v>
      </c>
      <c r="J54" s="1"/>
      <c r="K54" s="1"/>
    </row>
    <row r="55" spans="2:11" x14ac:dyDescent="0.35">
      <c r="B55" s="3" t="s">
        <v>22</v>
      </c>
      <c r="C55" s="3"/>
      <c r="D55" s="3"/>
      <c r="E55" s="10">
        <f>SUM(E40:E54)</f>
        <v>18943.5</v>
      </c>
      <c r="F55" s="10">
        <f>SUM(F40:F54)</f>
        <v>19321</v>
      </c>
      <c r="G55" s="10">
        <f>SUM(G40:G54)</f>
        <v>19709</v>
      </c>
      <c r="H55" s="10">
        <f>SUM(H40:H54)</f>
        <v>20109</v>
      </c>
      <c r="I55" s="10">
        <f>SUM(I40:I54)</f>
        <v>20521</v>
      </c>
      <c r="J55" s="1"/>
      <c r="K55" s="1"/>
    </row>
    <row r="56" spans="2:11" x14ac:dyDescent="0.35">
      <c r="B56" s="3"/>
      <c r="C56" s="3"/>
      <c r="D56" s="3"/>
      <c r="E56" s="10"/>
      <c r="F56" s="10"/>
      <c r="G56" s="10"/>
      <c r="H56" s="10"/>
      <c r="I56" s="10"/>
      <c r="J56" s="1"/>
      <c r="K56" s="1"/>
    </row>
    <row r="57" spans="2:11" x14ac:dyDescent="0.35">
      <c r="B57" s="3"/>
      <c r="C57" s="3"/>
      <c r="D57" s="3"/>
      <c r="E57" s="10"/>
      <c r="F57" s="10"/>
      <c r="G57" s="10"/>
      <c r="H57" s="10"/>
      <c r="I57" s="10"/>
      <c r="J57" s="1"/>
      <c r="K57" s="1"/>
    </row>
    <row r="58" spans="2:11" x14ac:dyDescent="0.35">
      <c r="B58" s="1"/>
      <c r="C58" s="1"/>
      <c r="D58" s="1"/>
      <c r="E58" s="8"/>
      <c r="F58" s="8"/>
      <c r="G58" s="8"/>
      <c r="H58" s="8"/>
      <c r="I58" s="8"/>
      <c r="J58" s="1"/>
      <c r="K58" s="1"/>
    </row>
    <row r="59" spans="2:11" ht="18.5" x14ac:dyDescent="0.45">
      <c r="B59" s="236" t="s">
        <v>76</v>
      </c>
      <c r="C59" s="236"/>
      <c r="D59" s="236"/>
      <c r="E59" s="236"/>
      <c r="F59" s="236"/>
      <c r="G59" s="236"/>
      <c r="H59" s="236"/>
      <c r="I59" s="236"/>
      <c r="J59" s="1"/>
      <c r="K59" s="1"/>
    </row>
    <row r="60" spans="2:11" ht="16" thickBot="1" x14ac:dyDescent="0.4">
      <c r="B60" s="37"/>
      <c r="C60" s="34" t="s">
        <v>3</v>
      </c>
      <c r="D60" s="33" t="s">
        <v>4</v>
      </c>
      <c r="E60" s="33" t="s">
        <v>5</v>
      </c>
      <c r="F60" s="33" t="s">
        <v>6</v>
      </c>
      <c r="G60" s="33" t="s">
        <v>7</v>
      </c>
      <c r="H60" s="1"/>
      <c r="I60" s="1"/>
      <c r="J60" s="1"/>
      <c r="K60" s="1"/>
    </row>
    <row r="61" spans="2:11" x14ac:dyDescent="0.35">
      <c r="B61" s="25" t="s">
        <v>23</v>
      </c>
      <c r="C61" s="155">
        <f>Budget!$B$56</f>
        <v>0</v>
      </c>
      <c r="D61" s="39">
        <f>C68</f>
        <v>5328.5000000000036</v>
      </c>
      <c r="E61" s="39">
        <f>D68</f>
        <v>11512.500000000007</v>
      </c>
      <c r="F61" s="39">
        <f>E68</f>
        <v>17289.500000000011</v>
      </c>
      <c r="G61" s="39">
        <f>F68</f>
        <v>22376.500000000015</v>
      </c>
      <c r="H61" s="1"/>
      <c r="I61" s="1"/>
      <c r="J61" s="1"/>
      <c r="K61" s="1"/>
    </row>
    <row r="62" spans="2:11" x14ac:dyDescent="0.35">
      <c r="B62" s="16" t="s">
        <v>24</v>
      </c>
      <c r="C62" s="38">
        <f>F90</f>
        <v>26100.000000000004</v>
      </c>
      <c r="D62" s="38">
        <f>F90</f>
        <v>26100.000000000004</v>
      </c>
      <c r="E62" s="38">
        <f>F90</f>
        <v>26100.000000000004</v>
      </c>
      <c r="F62" s="38">
        <f>F90</f>
        <v>26100.000000000004</v>
      </c>
      <c r="G62" s="38">
        <f>F90</f>
        <v>26100.000000000004</v>
      </c>
      <c r="H62" s="1"/>
      <c r="I62" s="1"/>
      <c r="J62" s="1"/>
      <c r="K62" s="1"/>
    </row>
    <row r="63" spans="2:11" x14ac:dyDescent="0.35">
      <c r="B63" s="16" t="s">
        <v>25</v>
      </c>
      <c r="C63" s="38"/>
      <c r="D63" s="38"/>
      <c r="E63" s="38"/>
      <c r="F63" s="38"/>
      <c r="G63" s="38"/>
      <c r="H63" s="1"/>
      <c r="I63" s="1"/>
      <c r="J63" s="1"/>
      <c r="K63" s="1"/>
    </row>
    <row r="64" spans="2:11" x14ac:dyDescent="0.35">
      <c r="B64" s="16" t="s">
        <v>64</v>
      </c>
      <c r="C64" s="38">
        <f>E55</f>
        <v>18943.5</v>
      </c>
      <c r="D64" s="38">
        <f>F55</f>
        <v>19321</v>
      </c>
      <c r="E64" s="38">
        <f>G55</f>
        <v>19709</v>
      </c>
      <c r="F64" s="38">
        <f>H55</f>
        <v>20109</v>
      </c>
      <c r="G64" s="38">
        <f>I55</f>
        <v>20521</v>
      </c>
      <c r="H64" s="1"/>
      <c r="I64" s="1"/>
      <c r="J64" s="1"/>
      <c r="K64" s="1"/>
    </row>
    <row r="65" spans="2:11" x14ac:dyDescent="0.35">
      <c r="B65" s="16" t="s">
        <v>65</v>
      </c>
      <c r="C65" s="38">
        <f>G29</f>
        <v>1828</v>
      </c>
      <c r="D65" s="38">
        <f>H29</f>
        <v>595</v>
      </c>
      <c r="E65" s="38">
        <f>I29</f>
        <v>614</v>
      </c>
      <c r="F65" s="38">
        <f>J29</f>
        <v>904</v>
      </c>
      <c r="G65" s="38">
        <f>K29</f>
        <v>651</v>
      </c>
      <c r="H65" s="1"/>
      <c r="I65" s="1"/>
      <c r="J65" s="1"/>
      <c r="K65" s="1"/>
    </row>
    <row r="66" spans="2:11" x14ac:dyDescent="0.35">
      <c r="B66" s="16" t="s">
        <v>28</v>
      </c>
      <c r="C66" s="38">
        <f>C64+C65</f>
        <v>20771.5</v>
      </c>
      <c r="D66" s="38">
        <f>D64+D65</f>
        <v>19916</v>
      </c>
      <c r="E66" s="38">
        <f>E64+E65</f>
        <v>20323</v>
      </c>
      <c r="F66" s="38">
        <f>F64+F65</f>
        <v>21013</v>
      </c>
      <c r="G66" s="38">
        <f>G64+G65</f>
        <v>21172</v>
      </c>
      <c r="H66" s="1"/>
      <c r="I66" s="1"/>
      <c r="J66" s="1"/>
      <c r="K66" s="1"/>
    </row>
    <row r="67" spans="2:11" x14ac:dyDescent="0.35">
      <c r="B67" s="16" t="s">
        <v>26</v>
      </c>
      <c r="C67" s="38">
        <f>C62-C66</f>
        <v>5328.5000000000036</v>
      </c>
      <c r="D67" s="38">
        <f>D62-D66</f>
        <v>6184.0000000000036</v>
      </c>
      <c r="E67" s="38">
        <f>E62-E66</f>
        <v>5777.0000000000036</v>
      </c>
      <c r="F67" s="38">
        <f>F62-F66</f>
        <v>5087.0000000000036</v>
      </c>
      <c r="G67" s="38">
        <f>G62-G66</f>
        <v>4928.0000000000036</v>
      </c>
      <c r="H67" s="1"/>
      <c r="I67" s="1"/>
      <c r="J67" s="1"/>
      <c r="K67" s="1"/>
    </row>
    <row r="68" spans="2:11" x14ac:dyDescent="0.35">
      <c r="B68" s="16" t="s">
        <v>27</v>
      </c>
      <c r="C68" s="38">
        <f>C61+C67</f>
        <v>5328.5000000000036</v>
      </c>
      <c r="D68" s="38">
        <f>D61+D67</f>
        <v>11512.500000000007</v>
      </c>
      <c r="E68" s="38">
        <f>E61+E67</f>
        <v>17289.500000000011</v>
      </c>
      <c r="F68" s="38">
        <f>F61+F67</f>
        <v>22376.500000000015</v>
      </c>
      <c r="G68" s="38">
        <f>G61+G67</f>
        <v>27304.500000000018</v>
      </c>
      <c r="H68" s="1"/>
      <c r="I68" s="1"/>
      <c r="J68" s="1"/>
      <c r="K68" s="1"/>
    </row>
    <row r="69" spans="2:11" x14ac:dyDescent="0.35">
      <c r="B69" s="7"/>
      <c r="C69" s="7"/>
      <c r="D69" s="7"/>
      <c r="E69" s="40"/>
      <c r="F69" s="40"/>
      <c r="G69" s="40"/>
      <c r="H69" s="40"/>
      <c r="I69" s="40"/>
      <c r="J69" s="1"/>
      <c r="K69" s="1"/>
    </row>
    <row r="70" spans="2:11" ht="21.5" x14ac:dyDescent="0.75">
      <c r="B70" s="107"/>
      <c r="C70" s="107"/>
      <c r="D70" s="107"/>
      <c r="E70" s="244" t="s">
        <v>118</v>
      </c>
      <c r="F70" s="244"/>
      <c r="G70" s="1"/>
      <c r="H70" s="1"/>
      <c r="I70" s="1"/>
      <c r="J70" s="1"/>
      <c r="K70" s="1"/>
    </row>
    <row r="71" spans="2:11" x14ac:dyDescent="0.35">
      <c r="B71" s="107"/>
      <c r="C71" s="107"/>
      <c r="D71" s="107"/>
      <c r="E71" s="145"/>
      <c r="F71" s="145"/>
      <c r="G71" s="1"/>
      <c r="H71" s="1"/>
      <c r="I71" s="1"/>
      <c r="J71" s="1"/>
      <c r="K71" s="1"/>
    </row>
    <row r="72" spans="2:11" ht="16" thickBot="1" x14ac:dyDescent="0.4">
      <c r="B72" s="23" t="str">
        <f>Budget!A68</f>
        <v>Capital Item</v>
      </c>
      <c r="C72" s="34" t="str">
        <f>Budget!B68</f>
        <v>Unit Cost</v>
      </c>
      <c r="D72" s="33" t="str">
        <f>Budget!C68</f>
        <v>Years of Life</v>
      </c>
      <c r="E72" s="33" t="str">
        <f>Budget!D68</f>
        <v>Year 1</v>
      </c>
      <c r="F72" s="33" t="str">
        <f>Budget!E68</f>
        <v>Year 2</v>
      </c>
      <c r="G72" s="33" t="str">
        <f>Budget!F68</f>
        <v>Year 3</v>
      </c>
      <c r="H72" s="33" t="str">
        <f>Budget!G68</f>
        <v>Year 4</v>
      </c>
      <c r="I72" s="33" t="str">
        <f>Budget!H68</f>
        <v>Year 5</v>
      </c>
      <c r="J72" s="1"/>
      <c r="K72" s="1"/>
    </row>
    <row r="73" spans="2:11" x14ac:dyDescent="0.35">
      <c r="B73" s="25" t="str">
        <f>Budget!A69</f>
        <v>Nursery Bag</v>
      </c>
      <c r="C73" s="144">
        <f>Budget!B69</f>
        <v>7</v>
      </c>
      <c r="D73" s="140">
        <f>Budget!C69</f>
        <v>4</v>
      </c>
      <c r="E73" s="26">
        <f>Budget!D69</f>
        <v>175</v>
      </c>
      <c r="F73" s="26">
        <f>Budget!E69</f>
        <v>180</v>
      </c>
      <c r="G73" s="26">
        <f>Budget!F69</f>
        <v>185</v>
      </c>
      <c r="H73" s="26">
        <f>Budget!G69</f>
        <v>191</v>
      </c>
      <c r="I73" s="26">
        <f>Budget!H69</f>
        <v>197</v>
      </c>
      <c r="J73" s="1"/>
      <c r="K73" s="1"/>
    </row>
    <row r="74" spans="2:11" x14ac:dyDescent="0.35">
      <c r="B74" s="16" t="str">
        <f>Budget!A70</f>
        <v>Growout Bag</v>
      </c>
      <c r="C74" s="144">
        <f>Budget!B70</f>
        <v>6.2</v>
      </c>
      <c r="D74" s="141">
        <f>Budget!C70</f>
        <v>10</v>
      </c>
      <c r="E74" s="26">
        <f>Budget!D70</f>
        <v>404</v>
      </c>
      <c r="F74" s="26">
        <f>Budget!E70</f>
        <v>416</v>
      </c>
      <c r="G74" s="26">
        <f>Budget!F70</f>
        <v>428</v>
      </c>
      <c r="H74" s="26">
        <f>Budget!G70</f>
        <v>441</v>
      </c>
      <c r="I74" s="26">
        <f>Budget!H70</f>
        <v>454</v>
      </c>
      <c r="J74" s="1"/>
      <c r="K74" s="1"/>
    </row>
    <row r="75" spans="2:11" x14ac:dyDescent="0.35">
      <c r="B75" s="16" t="str">
        <f>Budget!A71</f>
        <v>Wet Suit</v>
      </c>
      <c r="C75" s="144">
        <f>Budget!B71</f>
        <v>250</v>
      </c>
      <c r="D75" s="141">
        <f>Budget!C71</f>
        <v>3</v>
      </c>
      <c r="E75" s="24">
        <f>Budget!D71</f>
        <v>83.333333333333329</v>
      </c>
      <c r="F75" s="24">
        <f>Budget!E71</f>
        <v>86</v>
      </c>
      <c r="G75" s="24">
        <f>Budget!F71</f>
        <v>89</v>
      </c>
      <c r="H75" s="24">
        <f>Budget!G71</f>
        <v>92</v>
      </c>
      <c r="I75" s="24">
        <f>Budget!H71</f>
        <v>95</v>
      </c>
      <c r="J75" s="1"/>
      <c r="K75" s="1"/>
    </row>
    <row r="76" spans="2:11" x14ac:dyDescent="0.35">
      <c r="B76" s="16" t="str">
        <f>Budget!A72</f>
        <v>Boat</v>
      </c>
      <c r="C76" s="144">
        <f>Budget!B72</f>
        <v>18000</v>
      </c>
      <c r="D76" s="141">
        <f>Budget!C72</f>
        <v>7</v>
      </c>
      <c r="E76" s="24">
        <f>Budget!D72</f>
        <v>0</v>
      </c>
      <c r="F76" s="24">
        <f>Budget!E72</f>
        <v>0</v>
      </c>
      <c r="G76" s="24">
        <f>Budget!F72</f>
        <v>0</v>
      </c>
      <c r="H76" s="24">
        <f>Budget!G72</f>
        <v>0</v>
      </c>
      <c r="I76" s="24">
        <f>Budget!H72</f>
        <v>0</v>
      </c>
      <c r="J76" s="1"/>
      <c r="K76" s="1"/>
    </row>
    <row r="77" spans="2:11" x14ac:dyDescent="0.35">
      <c r="B77" s="16" t="str">
        <f>Budget!A73</f>
        <v>Truck</v>
      </c>
      <c r="C77" s="144">
        <f>Budget!B73</f>
        <v>28000</v>
      </c>
      <c r="D77" s="141">
        <f>Budget!C73</f>
        <v>10</v>
      </c>
      <c r="E77" s="24">
        <f>Budget!D73</f>
        <v>0</v>
      </c>
      <c r="F77" s="24">
        <f>Budget!E73</f>
        <v>0</v>
      </c>
      <c r="G77" s="24">
        <f>Budget!F73</f>
        <v>0</v>
      </c>
      <c r="H77" s="24">
        <f>Budget!G73</f>
        <v>0</v>
      </c>
      <c r="I77" s="24">
        <f>Budget!H73</f>
        <v>0</v>
      </c>
      <c r="J77" s="1"/>
      <c r="K77" s="1"/>
    </row>
    <row r="78" spans="2:11" x14ac:dyDescent="0.35">
      <c r="B78" s="16" t="str">
        <f>Budget!A74</f>
        <v>Motor</v>
      </c>
      <c r="C78" s="144">
        <f>Budget!B74</f>
        <v>10000</v>
      </c>
      <c r="D78" s="141">
        <f>Budget!C74</f>
        <v>3</v>
      </c>
      <c r="E78" s="24">
        <f>Budget!D74</f>
        <v>0</v>
      </c>
      <c r="F78" s="24">
        <f>Budget!E74</f>
        <v>0</v>
      </c>
      <c r="G78" s="24">
        <f>Budget!F74</f>
        <v>0</v>
      </c>
      <c r="H78" s="24">
        <f>Budget!G74</f>
        <v>0</v>
      </c>
      <c r="I78" s="24">
        <f>Budget!H74</f>
        <v>0</v>
      </c>
      <c r="J78" s="1"/>
      <c r="K78" s="1"/>
    </row>
    <row r="79" spans="2:11" ht="44" thickBot="1" x14ac:dyDescent="0.4">
      <c r="B79" s="98" t="str">
        <f>Budget!A75</f>
        <v>Winch/Davit/Boom/Pulley/Batteries</v>
      </c>
      <c r="C79" s="129">
        <f>Budget!B75</f>
        <v>1000</v>
      </c>
      <c r="D79" s="142">
        <f>Budget!C75</f>
        <v>5</v>
      </c>
      <c r="E79" s="28">
        <f>Budget!D75</f>
        <v>200</v>
      </c>
      <c r="F79" s="28">
        <f>Budget!E75</f>
        <v>206</v>
      </c>
      <c r="G79" s="28">
        <f>Budget!F75</f>
        <v>212</v>
      </c>
      <c r="H79" s="28">
        <f>Budget!G75</f>
        <v>218</v>
      </c>
      <c r="I79" s="28">
        <f>Budget!H75</f>
        <v>225</v>
      </c>
      <c r="J79" s="1"/>
      <c r="K79" s="1"/>
    </row>
    <row r="80" spans="2:11" x14ac:dyDescent="0.35">
      <c r="B80" s="5" t="str">
        <f>Budget!A76</f>
        <v xml:space="preserve">Total Investment </v>
      </c>
      <c r="C80" s="6">
        <f>Budget!B76</f>
        <v>0</v>
      </c>
      <c r="D80" s="7">
        <f>Budget!C76</f>
        <v>0</v>
      </c>
      <c r="E80" s="15">
        <f>Budget!D76</f>
        <v>862.33333333333337</v>
      </c>
      <c r="F80" s="15">
        <f>Budget!E76</f>
        <v>888</v>
      </c>
      <c r="G80" s="15">
        <f>Budget!F76</f>
        <v>914</v>
      </c>
      <c r="H80" s="15">
        <f>Budget!G76</f>
        <v>942</v>
      </c>
      <c r="I80" s="15">
        <f>Budget!H76</f>
        <v>971</v>
      </c>
      <c r="J80" s="1"/>
      <c r="K80" s="1"/>
    </row>
    <row r="81" spans="2:11" x14ac:dyDescent="0.35">
      <c r="B81" s="7"/>
      <c r="C81" s="7"/>
      <c r="D81" s="7"/>
      <c r="E81" s="40"/>
      <c r="F81" s="40"/>
      <c r="G81" s="40"/>
      <c r="H81" s="40"/>
      <c r="I81" s="40"/>
      <c r="J81" s="1"/>
      <c r="K81" s="1"/>
    </row>
    <row r="82" spans="2:11" x14ac:dyDescent="0.35">
      <c r="B82" s="1"/>
      <c r="C82" s="1"/>
      <c r="D82" s="1"/>
      <c r="E82" s="4"/>
      <c r="F82" s="1"/>
      <c r="G82" s="1"/>
      <c r="H82" s="1"/>
      <c r="I82" s="1"/>
      <c r="J82" s="1"/>
      <c r="K82" s="1"/>
    </row>
    <row r="83" spans="2:11" ht="18.5" x14ac:dyDescent="0.45">
      <c r="B83" s="236" t="s">
        <v>75</v>
      </c>
      <c r="C83" s="236"/>
      <c r="D83" s="236"/>
      <c r="E83" s="236"/>
      <c r="F83" s="236"/>
      <c r="G83" s="236"/>
      <c r="H83" s="143"/>
      <c r="I83" s="143"/>
      <c r="J83" s="1"/>
      <c r="K83" s="1"/>
    </row>
    <row r="84" spans="2:11" ht="16" thickBot="1" x14ac:dyDescent="0.4">
      <c r="B84" s="33" t="s">
        <v>29</v>
      </c>
      <c r="C84" s="33"/>
      <c r="D84" s="34" t="s">
        <v>30</v>
      </c>
      <c r="E84" s="33" t="s">
        <v>31</v>
      </c>
      <c r="F84" s="33" t="s">
        <v>32</v>
      </c>
      <c r="G84" s="1"/>
      <c r="H84" s="1"/>
      <c r="I84" s="1"/>
      <c r="J84" s="1"/>
      <c r="K84" s="1"/>
    </row>
    <row r="85" spans="2:11" x14ac:dyDescent="0.35">
      <c r="B85" s="31" t="s">
        <v>33</v>
      </c>
      <c r="C85" s="31"/>
      <c r="D85" s="6"/>
      <c r="E85" s="7"/>
      <c r="F85" s="7"/>
      <c r="G85" s="1"/>
      <c r="H85" s="1"/>
      <c r="I85" s="1"/>
      <c r="J85" s="1"/>
      <c r="K85" s="1"/>
    </row>
    <row r="86" spans="2:11" x14ac:dyDescent="0.35">
      <c r="B86" s="7" t="s">
        <v>34</v>
      </c>
      <c r="C86" s="7"/>
      <c r="D86" s="50">
        <f>F13*D90</f>
        <v>420000.00000000006</v>
      </c>
      <c r="E86" s="51">
        <f>I7</f>
        <v>0.05</v>
      </c>
      <c r="F86" s="11">
        <f>E86*D86</f>
        <v>21000.000000000004</v>
      </c>
      <c r="G86" s="1"/>
      <c r="H86" s="1"/>
      <c r="I86" s="1"/>
      <c r="J86" s="1"/>
      <c r="K86" s="1"/>
    </row>
    <row r="87" spans="2:11" x14ac:dyDescent="0.35">
      <c r="B87" s="7" t="s">
        <v>35</v>
      </c>
      <c r="C87" s="7"/>
      <c r="D87" s="50">
        <f>F14*D90</f>
        <v>120000.00000000003</v>
      </c>
      <c r="E87" s="51">
        <f>I8</f>
        <v>0.03</v>
      </c>
      <c r="F87" s="11">
        <f>E87*D87</f>
        <v>3600.0000000000009</v>
      </c>
      <c r="G87" s="1"/>
      <c r="H87" s="1"/>
      <c r="I87" s="1"/>
      <c r="J87" s="1"/>
      <c r="K87" s="1"/>
    </row>
    <row r="88" spans="2:11" x14ac:dyDescent="0.35">
      <c r="B88" s="7" t="s">
        <v>36</v>
      </c>
      <c r="C88" s="7"/>
      <c r="D88" s="50">
        <f>F15*D90</f>
        <v>60000.000000000015</v>
      </c>
      <c r="E88" s="52">
        <f>I9</f>
        <v>2.5000000000000001E-2</v>
      </c>
      <c r="F88" s="13">
        <f>E88*D88</f>
        <v>1500.0000000000005</v>
      </c>
      <c r="G88" s="1"/>
      <c r="H88" s="1"/>
      <c r="I88" s="1"/>
      <c r="J88" s="1"/>
      <c r="K88" s="1"/>
    </row>
    <row r="89" spans="2:11" x14ac:dyDescent="0.35">
      <c r="B89" s="261"/>
      <c r="C89" s="261"/>
      <c r="D89" s="261"/>
      <c r="E89" s="261"/>
      <c r="F89" s="261"/>
      <c r="G89" s="261"/>
      <c r="H89" s="1"/>
      <c r="I89" s="1"/>
      <c r="J89" s="1"/>
      <c r="K89" s="1"/>
    </row>
    <row r="90" spans="2:11" x14ac:dyDescent="0.35">
      <c r="B90" s="5" t="s">
        <v>79</v>
      </c>
      <c r="C90" s="5"/>
      <c r="D90" s="50">
        <f>D93*F11</f>
        <v>600000.00000000012</v>
      </c>
      <c r="E90" s="51"/>
      <c r="F90" s="53">
        <f>SUM(F86:F88)</f>
        <v>26100.000000000004</v>
      </c>
      <c r="G90" s="1"/>
      <c r="H90" s="1"/>
      <c r="I90" s="1"/>
      <c r="J90" s="1"/>
      <c r="K90" s="1"/>
    </row>
    <row r="91" spans="2:11" x14ac:dyDescent="0.35">
      <c r="B91" s="261"/>
      <c r="C91" s="261"/>
      <c r="D91" s="261"/>
      <c r="E91" s="261"/>
      <c r="F91" s="261"/>
      <c r="G91" s="261"/>
      <c r="H91" s="1"/>
      <c r="I91" s="1"/>
      <c r="J91" s="1"/>
      <c r="K91" s="1"/>
    </row>
    <row r="92" spans="2:11" x14ac:dyDescent="0.35">
      <c r="B92" s="31" t="s">
        <v>14</v>
      </c>
      <c r="C92" s="31"/>
      <c r="D92" s="31"/>
      <c r="E92" s="50"/>
      <c r="F92" s="51"/>
      <c r="G92" s="11"/>
      <c r="H92" s="1"/>
      <c r="I92" s="1"/>
      <c r="J92" s="1"/>
      <c r="K92" s="1"/>
    </row>
    <row r="93" spans="2:11" x14ac:dyDescent="0.35">
      <c r="B93" s="7" t="s">
        <v>82</v>
      </c>
      <c r="C93" s="7"/>
      <c r="D93" s="50">
        <f>F5</f>
        <v>1000000</v>
      </c>
      <c r="E93" s="52">
        <f>I5</f>
        <v>6.0000000000000001E-3</v>
      </c>
      <c r="F93" s="11">
        <f>E93*D93</f>
        <v>6000</v>
      </c>
      <c r="G93" s="1"/>
      <c r="H93" s="1"/>
      <c r="I93" s="1"/>
      <c r="J93" s="1"/>
      <c r="K93" s="1"/>
    </row>
    <row r="94" spans="2:11" x14ac:dyDescent="0.35">
      <c r="B94" s="7" t="s">
        <v>83</v>
      </c>
      <c r="C94" s="7"/>
      <c r="D94" s="50">
        <f>F18+F17</f>
        <v>752</v>
      </c>
      <c r="E94" s="11">
        <f>D41</f>
        <v>2</v>
      </c>
      <c r="F94" s="11">
        <f>E94*D94</f>
        <v>1504</v>
      </c>
      <c r="G94" s="1"/>
      <c r="H94" s="1"/>
      <c r="I94" s="1"/>
      <c r="J94" s="1"/>
      <c r="K94" s="1"/>
    </row>
    <row r="95" spans="2:11" x14ac:dyDescent="0.35">
      <c r="B95" s="7" t="s">
        <v>84</v>
      </c>
      <c r="C95" s="7"/>
      <c r="D95" s="50">
        <f>C42</f>
        <v>205</v>
      </c>
      <c r="E95" s="51">
        <f>D42</f>
        <v>3.5</v>
      </c>
      <c r="F95" s="11">
        <f>ROUND(E95*D95,0)</f>
        <v>718</v>
      </c>
      <c r="G95" s="1"/>
      <c r="H95" s="1"/>
      <c r="I95" s="1"/>
      <c r="J95" s="1"/>
      <c r="K95" s="1"/>
    </row>
    <row r="96" spans="2:11" x14ac:dyDescent="0.35">
      <c r="B96" s="7" t="s">
        <v>85</v>
      </c>
      <c r="C96" s="7"/>
      <c r="D96" s="50">
        <f>C43</f>
        <v>205</v>
      </c>
      <c r="E96" s="51">
        <f>D43</f>
        <v>3.5</v>
      </c>
      <c r="F96" s="11">
        <f>ROUND(E96*D96,0)</f>
        <v>718</v>
      </c>
      <c r="G96" s="1"/>
      <c r="H96" s="1"/>
      <c r="I96" s="1"/>
      <c r="J96" s="1"/>
      <c r="K96" s="1"/>
    </row>
    <row r="97" spans="2:11" x14ac:dyDescent="0.35">
      <c r="B97" s="7" t="s">
        <v>109</v>
      </c>
      <c r="C97" s="7"/>
      <c r="D97" s="50"/>
      <c r="E97" s="4"/>
      <c r="F97" s="11">
        <f>D45</f>
        <v>2800</v>
      </c>
      <c r="G97" s="1"/>
      <c r="H97" s="1"/>
      <c r="I97" s="1"/>
      <c r="J97" s="1"/>
      <c r="K97" s="1"/>
    </row>
    <row r="98" spans="2:11" x14ac:dyDescent="0.35">
      <c r="B98" s="7" t="s">
        <v>86</v>
      </c>
      <c r="C98" s="7"/>
      <c r="D98" s="50">
        <f>C46</f>
        <v>662</v>
      </c>
      <c r="E98" s="51">
        <f>D46</f>
        <v>1.25</v>
      </c>
      <c r="F98" s="11">
        <f>ROUND(E98*D98,0)</f>
        <v>828</v>
      </c>
      <c r="G98" s="1"/>
      <c r="H98" s="1"/>
      <c r="I98" s="1"/>
      <c r="J98" s="1"/>
      <c r="K98" s="1"/>
    </row>
    <row r="99" spans="2:11" x14ac:dyDescent="0.35">
      <c r="B99" s="7" t="s">
        <v>87</v>
      </c>
      <c r="C99" s="7"/>
      <c r="D99" s="50">
        <f>C44</f>
        <v>1</v>
      </c>
      <c r="E99" s="11">
        <f>D44</f>
        <v>100</v>
      </c>
      <c r="F99" s="11">
        <f>D99*E99</f>
        <v>100</v>
      </c>
      <c r="G99" s="1"/>
      <c r="H99" s="1"/>
      <c r="I99" s="1"/>
      <c r="J99" s="1"/>
      <c r="K99" s="1"/>
    </row>
    <row r="100" spans="2:11" x14ac:dyDescent="0.35">
      <c r="B100" s="7" t="s">
        <v>105</v>
      </c>
      <c r="C100" s="7"/>
      <c r="D100" s="50"/>
      <c r="E100" s="11"/>
      <c r="F100" s="11">
        <f>D47</f>
        <v>4400</v>
      </c>
      <c r="G100" s="1"/>
      <c r="H100" s="1"/>
      <c r="I100" s="1"/>
      <c r="J100" s="1"/>
      <c r="K100" s="1"/>
    </row>
    <row r="101" spans="2:11" x14ac:dyDescent="0.35">
      <c r="B101" s="7" t="s">
        <v>80</v>
      </c>
      <c r="C101" s="7"/>
      <c r="D101" s="50"/>
      <c r="E101" s="51"/>
      <c r="F101" s="13">
        <f>D48</f>
        <v>250</v>
      </c>
      <c r="G101" s="1"/>
      <c r="H101" s="1"/>
      <c r="I101" s="1"/>
      <c r="J101" s="1"/>
      <c r="K101" s="1"/>
    </row>
    <row r="102" spans="2:11" x14ac:dyDescent="0.35">
      <c r="B102" s="5" t="s">
        <v>37</v>
      </c>
      <c r="C102" s="5"/>
      <c r="D102" s="5"/>
      <c r="E102" s="50"/>
      <c r="F102" s="11">
        <f>SUM(F93:F101)</f>
        <v>17318</v>
      </c>
      <c r="G102" s="53"/>
      <c r="H102" s="1"/>
      <c r="I102" s="1"/>
      <c r="J102" s="1"/>
      <c r="K102" s="1"/>
    </row>
    <row r="103" spans="2:11" x14ac:dyDescent="0.35">
      <c r="B103" s="261"/>
      <c r="C103" s="261"/>
      <c r="D103" s="261"/>
      <c r="E103" s="261"/>
      <c r="F103" s="261"/>
      <c r="G103" s="261"/>
      <c r="H103" s="1"/>
      <c r="I103" s="1"/>
      <c r="J103" s="1"/>
      <c r="K103" s="1"/>
    </row>
    <row r="104" spans="2:11" x14ac:dyDescent="0.35">
      <c r="B104" s="31" t="s">
        <v>38</v>
      </c>
      <c r="C104" s="31"/>
      <c r="D104" s="31"/>
      <c r="E104" s="50"/>
      <c r="F104" s="51"/>
      <c r="G104" s="11"/>
      <c r="H104" s="1"/>
      <c r="I104" s="1"/>
      <c r="J104" s="1"/>
      <c r="K104" s="1"/>
    </row>
    <row r="105" spans="2:11" x14ac:dyDescent="0.35">
      <c r="B105" s="123" t="s">
        <v>19</v>
      </c>
      <c r="C105" s="7"/>
      <c r="D105" s="7"/>
      <c r="E105" s="6"/>
      <c r="F105" s="7"/>
      <c r="G105" s="7"/>
      <c r="H105" s="1"/>
      <c r="I105" s="1"/>
      <c r="J105" s="1"/>
      <c r="K105" s="1"/>
    </row>
    <row r="106" spans="2:11" x14ac:dyDescent="0.35">
      <c r="B106" s="7" t="s">
        <v>114</v>
      </c>
      <c r="C106" s="7"/>
      <c r="D106" s="50">
        <f t="shared" ref="D106:E110" si="2">C50</f>
        <v>1</v>
      </c>
      <c r="E106" s="11">
        <f t="shared" si="2"/>
        <v>750</v>
      </c>
      <c r="F106" s="11">
        <f>E106*D106</f>
        <v>750</v>
      </c>
      <c r="G106" s="1"/>
      <c r="H106" s="1"/>
      <c r="I106" s="1"/>
      <c r="J106" s="1"/>
      <c r="K106" s="1"/>
    </row>
    <row r="107" spans="2:11" x14ac:dyDescent="0.35">
      <c r="B107" s="7" t="s">
        <v>115</v>
      </c>
      <c r="C107" s="7"/>
      <c r="D107" s="50">
        <f t="shared" si="2"/>
        <v>1</v>
      </c>
      <c r="E107" s="11">
        <f t="shared" si="2"/>
        <v>250</v>
      </c>
      <c r="F107" s="11">
        <f>D107*E107</f>
        <v>250</v>
      </c>
      <c r="G107" s="1"/>
      <c r="H107" s="1"/>
      <c r="I107" s="1"/>
      <c r="J107" s="1"/>
      <c r="K107" s="1"/>
    </row>
    <row r="108" spans="2:11" x14ac:dyDescent="0.35">
      <c r="B108" s="7" t="s">
        <v>81</v>
      </c>
      <c r="C108" s="7"/>
      <c r="D108" s="50">
        <f t="shared" si="2"/>
        <v>1</v>
      </c>
      <c r="E108" s="11">
        <f t="shared" si="2"/>
        <v>500</v>
      </c>
      <c r="F108" s="11">
        <f>E108*D108</f>
        <v>500</v>
      </c>
      <c r="G108" s="1"/>
      <c r="H108" s="1"/>
      <c r="I108" s="1"/>
      <c r="J108" s="1"/>
      <c r="K108" s="1"/>
    </row>
    <row r="109" spans="2:11" x14ac:dyDescent="0.35">
      <c r="B109" s="7" t="s">
        <v>112</v>
      </c>
      <c r="C109" s="7"/>
      <c r="D109" s="50">
        <f t="shared" si="2"/>
        <v>1</v>
      </c>
      <c r="E109" s="11">
        <f t="shared" si="2"/>
        <v>27</v>
      </c>
      <c r="F109" s="11">
        <f>D109*E109</f>
        <v>27</v>
      </c>
      <c r="G109" s="1"/>
      <c r="H109" s="1"/>
      <c r="I109" s="1"/>
      <c r="J109" s="1"/>
      <c r="K109" s="1"/>
    </row>
    <row r="110" spans="2:11" x14ac:dyDescent="0.35">
      <c r="B110" s="7" t="s">
        <v>113</v>
      </c>
      <c r="C110" s="7"/>
      <c r="D110" s="50">
        <f t="shared" si="2"/>
        <v>1</v>
      </c>
      <c r="E110" s="11">
        <f t="shared" si="2"/>
        <v>100</v>
      </c>
      <c r="F110" s="11">
        <f>E110*D110</f>
        <v>100</v>
      </c>
      <c r="G110" s="1"/>
      <c r="H110" s="1"/>
      <c r="I110" s="1"/>
      <c r="J110" s="1"/>
      <c r="K110" s="1"/>
    </row>
    <row r="111" spans="2:11" x14ac:dyDescent="0.35">
      <c r="B111" s="261"/>
      <c r="C111" s="261"/>
      <c r="D111" s="261"/>
      <c r="E111" s="261"/>
      <c r="F111" s="261"/>
      <c r="G111" s="261"/>
      <c r="H111" s="1"/>
      <c r="I111" s="1"/>
      <c r="J111" s="1"/>
      <c r="K111" s="1"/>
    </row>
    <row r="112" spans="2:11" x14ac:dyDescent="0.35">
      <c r="B112" s="7" t="s">
        <v>39</v>
      </c>
      <c r="C112" s="7"/>
      <c r="D112" s="7"/>
      <c r="E112" s="6"/>
      <c r="F112" s="11">
        <f>ROUND(AVERAGE(G29:K29),0)</f>
        <v>918</v>
      </c>
      <c r="G112" s="1"/>
      <c r="H112" s="1"/>
      <c r="I112" s="1"/>
      <c r="J112" s="1"/>
      <c r="K112" s="1"/>
    </row>
    <row r="113" spans="2:11" x14ac:dyDescent="0.35">
      <c r="B113" s="7" t="s">
        <v>40</v>
      </c>
      <c r="C113" s="7"/>
      <c r="D113" s="7"/>
      <c r="E113" s="6"/>
      <c r="F113" s="13">
        <f>AVERAGE(E80:I80)</f>
        <v>915.46666666666681</v>
      </c>
      <c r="G113" s="1"/>
      <c r="H113" s="1"/>
      <c r="I113" s="1"/>
      <c r="J113" s="1"/>
      <c r="K113" s="1"/>
    </row>
    <row r="114" spans="2:11" x14ac:dyDescent="0.35">
      <c r="B114" s="5" t="s">
        <v>41</v>
      </c>
      <c r="C114" s="5"/>
      <c r="D114" s="5"/>
      <c r="E114" s="6"/>
      <c r="F114" s="53">
        <f>SUM(F106:F113)</f>
        <v>3460.4666666666667</v>
      </c>
      <c r="G114" s="1"/>
      <c r="H114" s="1"/>
      <c r="I114" s="1"/>
      <c r="J114" s="1"/>
      <c r="K114" s="1"/>
    </row>
    <row r="115" spans="2:11" x14ac:dyDescent="0.35">
      <c r="B115" s="5"/>
      <c r="C115" s="5"/>
      <c r="D115" s="5"/>
      <c r="E115" s="6"/>
      <c r="F115" s="53"/>
      <c r="G115" s="1"/>
      <c r="H115" s="1"/>
      <c r="I115" s="1"/>
      <c r="J115" s="1"/>
      <c r="K115" s="1"/>
    </row>
    <row r="116" spans="2:11" x14ac:dyDescent="0.35">
      <c r="B116" s="31" t="s">
        <v>90</v>
      </c>
      <c r="C116" s="31"/>
      <c r="D116" s="31"/>
      <c r="E116" s="6"/>
      <c r="F116" s="53">
        <f>F114+F102</f>
        <v>20778.466666666667</v>
      </c>
      <c r="G116" s="1"/>
      <c r="H116" s="1"/>
      <c r="I116" s="1"/>
      <c r="J116" s="1"/>
      <c r="K116" s="1"/>
    </row>
    <row r="117" spans="2:11" x14ac:dyDescent="0.35">
      <c r="B117" s="31"/>
      <c r="C117" s="31"/>
      <c r="D117" s="31"/>
      <c r="E117" s="6"/>
      <c r="F117" s="11"/>
      <c r="G117" s="1"/>
      <c r="H117" s="1"/>
      <c r="I117" s="1"/>
      <c r="J117" s="1"/>
      <c r="K117" s="1"/>
    </row>
    <row r="118" spans="2:11" x14ac:dyDescent="0.35">
      <c r="B118" s="31" t="s">
        <v>122</v>
      </c>
      <c r="C118" s="31"/>
      <c r="D118" s="31"/>
      <c r="E118" s="6"/>
      <c r="F118" s="11"/>
      <c r="G118" s="1"/>
      <c r="H118" s="1"/>
      <c r="I118" s="1"/>
      <c r="J118" s="1"/>
      <c r="K118" s="1"/>
    </row>
    <row r="119" spans="2:11" x14ac:dyDescent="0.35">
      <c r="B119" s="123" t="s">
        <v>123</v>
      </c>
      <c r="C119" s="31"/>
      <c r="D119" s="31"/>
      <c r="E119" s="6"/>
      <c r="F119" s="11"/>
      <c r="G119" s="1"/>
      <c r="H119" s="1"/>
      <c r="I119" s="1"/>
      <c r="J119" s="1"/>
      <c r="K119" s="1"/>
    </row>
    <row r="120" spans="2:11" x14ac:dyDescent="0.35">
      <c r="B120" s="5" t="s">
        <v>119</v>
      </c>
      <c r="C120" s="31"/>
      <c r="D120" s="31"/>
      <c r="E120" s="6"/>
      <c r="F120" s="11">
        <f>F90-(F116-F113)</f>
        <v>6237.0000000000036</v>
      </c>
      <c r="G120" s="1"/>
      <c r="H120" s="1"/>
      <c r="I120" s="1"/>
      <c r="J120" s="1"/>
      <c r="K120" s="1"/>
    </row>
    <row r="121" spans="2:11" x14ac:dyDescent="0.35">
      <c r="B121" s="5" t="s">
        <v>120</v>
      </c>
      <c r="C121" s="31"/>
      <c r="D121" s="31"/>
      <c r="E121" s="6"/>
      <c r="F121" s="157">
        <f>(F116-F113)/D90</f>
        <v>3.3104999999999996E-2</v>
      </c>
      <c r="G121" s="1"/>
      <c r="H121" s="1"/>
      <c r="I121" s="1"/>
      <c r="J121" s="1"/>
      <c r="K121" s="1"/>
    </row>
    <row r="122" spans="2:11" x14ac:dyDescent="0.35">
      <c r="B122" s="5" t="s">
        <v>121</v>
      </c>
      <c r="C122" s="31"/>
      <c r="D122" s="31"/>
      <c r="E122" s="6"/>
      <c r="F122" s="55">
        <f>((F116-F113)/(E86*(D86/D90)+E87*(D87/D90)+E88*(D88/D90)))/D93</f>
        <v>0.45662068965517244</v>
      </c>
      <c r="G122" s="1"/>
      <c r="H122" s="1"/>
      <c r="I122" s="1"/>
      <c r="J122" s="1"/>
      <c r="K122" s="1"/>
    </row>
    <row r="123" spans="2:11" x14ac:dyDescent="0.35">
      <c r="B123" s="5"/>
      <c r="C123" s="31"/>
      <c r="D123" s="31"/>
      <c r="E123" s="6"/>
      <c r="F123" s="55"/>
      <c r="G123" s="1"/>
      <c r="H123" s="1"/>
      <c r="I123" s="1"/>
      <c r="J123" s="1"/>
      <c r="K123" s="1"/>
    </row>
    <row r="124" spans="2:11" x14ac:dyDescent="0.35">
      <c r="B124" s="158" t="s">
        <v>90</v>
      </c>
      <c r="C124" s="156"/>
      <c r="D124" s="156"/>
      <c r="E124" s="156"/>
      <c r="F124" s="156"/>
      <c r="G124" s="156"/>
      <c r="H124" s="1"/>
      <c r="I124" s="1"/>
      <c r="J124" s="1"/>
      <c r="K124" s="1"/>
    </row>
    <row r="125" spans="2:11" x14ac:dyDescent="0.35">
      <c r="B125" s="5" t="s">
        <v>42</v>
      </c>
      <c r="C125" s="5"/>
      <c r="D125" s="5"/>
      <c r="E125" s="6"/>
      <c r="F125" s="11">
        <f>F90-F116</f>
        <v>5321.5333333333365</v>
      </c>
      <c r="G125" s="1"/>
      <c r="H125" s="1"/>
      <c r="I125" s="1"/>
      <c r="J125" s="1"/>
      <c r="K125" s="1"/>
    </row>
    <row r="126" spans="2:11" x14ac:dyDescent="0.35">
      <c r="B126" s="5" t="s">
        <v>43</v>
      </c>
      <c r="C126" s="5"/>
      <c r="D126" s="5"/>
      <c r="E126" s="6"/>
      <c r="F126" s="54">
        <f>F116/D90</f>
        <v>3.4630777777777774E-2</v>
      </c>
      <c r="G126" s="1"/>
      <c r="H126" s="1"/>
      <c r="I126" s="1"/>
      <c r="J126" s="1"/>
      <c r="K126" s="1"/>
    </row>
    <row r="127" spans="2:11" x14ac:dyDescent="0.35">
      <c r="B127" s="5" t="s">
        <v>44</v>
      </c>
      <c r="C127" s="5"/>
      <c r="D127" s="5"/>
      <c r="E127" s="6"/>
      <c r="F127" s="55">
        <f>(F116/(E86*(D86/D90)+E87*(D87/D90)+E88*(D88/D90)))/D93</f>
        <v>0.47766590038314183</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OrEqual" allowBlank="1" showInputMessage="1" showErrorMessage="1" sqref="F15">
      <formula1>0</formula1>
    </dataValidation>
    <dataValidation type="whole" allowBlank="1" showInputMessage="1" showErrorMessage="1" sqref="E25:E28">
      <formula1>0</formula1>
      <formula2>1</formula2>
    </dataValidation>
    <dataValidation type="whole" operator="greaterThan" allowBlank="1" showInputMessage="1" showErrorMessage="1" sqref="C22:C28 D24:D28 E24 F53:I54 E50:E54 F5 E40:E41 F47:I47 E43:E48 D75:D79 C73:C79">
      <formula1>0</formula1>
    </dataValidation>
    <dataValidation type="decimal" operator="greaterThan" allowBlank="1" showInputMessage="1" showErrorMessage="1" sqref="I7:I9 I5 F6:F7 F9:F11 F13:F14">
      <formula1>0</formula1>
    </dataValidation>
  </dataValidations>
  <pageMargins left="0.75" right="0.75" top="1" bottom="1" header="0.5" footer="0.5"/>
  <pageSetup orientation="portrait" horizontalDpi="4294967292" verticalDpi="4294967292"/>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27"/>
  <sheetViews>
    <sheetView topLeftCell="A62" workbookViewId="0">
      <selection activeCell="M89" sqref="M89"/>
    </sheetView>
  </sheetViews>
  <sheetFormatPr defaultColWidth="11" defaultRowHeight="15.5" x14ac:dyDescent="0.35"/>
  <sheetData>
    <row r="3" spans="2:11" ht="16" thickBot="1" x14ac:dyDescent="0.4">
      <c r="B3" s="1"/>
      <c r="C3" s="1"/>
      <c r="D3" s="1"/>
      <c r="E3" s="66"/>
      <c r="F3" s="37"/>
      <c r="G3" s="7"/>
      <c r="H3" s="1"/>
      <c r="I3" s="1"/>
      <c r="J3" s="1"/>
      <c r="K3" s="1"/>
    </row>
    <row r="4" spans="2:11" x14ac:dyDescent="0.35">
      <c r="B4" s="1"/>
      <c r="C4" s="1"/>
      <c r="D4" s="18" t="s">
        <v>51</v>
      </c>
      <c r="E4" s="117"/>
      <c r="F4" s="19" t="s">
        <v>50</v>
      </c>
      <c r="G4" s="1"/>
      <c r="H4" s="18" t="s">
        <v>53</v>
      </c>
      <c r="I4" s="19" t="s">
        <v>54</v>
      </c>
      <c r="J4" s="1"/>
      <c r="K4" s="1"/>
    </row>
    <row r="5" spans="2:11" x14ac:dyDescent="0.35">
      <c r="B5" s="1"/>
      <c r="C5" s="1"/>
      <c r="D5" s="239" t="s">
        <v>73</v>
      </c>
      <c r="E5" s="240"/>
      <c r="F5" s="56">
        <f>Budget!E5</f>
        <v>1000000</v>
      </c>
      <c r="G5" s="1"/>
      <c r="H5" s="22" t="s">
        <v>46</v>
      </c>
      <c r="I5" s="62">
        <f>Budget!H5</f>
        <v>6.0000000000000001E-3</v>
      </c>
      <c r="J5" s="1"/>
      <c r="K5" s="1"/>
    </row>
    <row r="6" spans="2:11" x14ac:dyDescent="0.35">
      <c r="B6" s="1"/>
      <c r="C6" s="1"/>
      <c r="D6" s="247" t="s">
        <v>60</v>
      </c>
      <c r="E6" s="248"/>
      <c r="F6" s="57">
        <f>Budget!E6</f>
        <v>10000</v>
      </c>
      <c r="G6" s="1"/>
      <c r="H6" s="43" t="s">
        <v>47</v>
      </c>
      <c r="I6" s="21">
        <f>Budget!H6</f>
        <v>0</v>
      </c>
      <c r="J6" s="1"/>
      <c r="K6" s="1"/>
    </row>
    <row r="7" spans="2:11" x14ac:dyDescent="0.35">
      <c r="B7" s="1"/>
      <c r="C7" s="1"/>
      <c r="D7" s="239" t="s">
        <v>55</v>
      </c>
      <c r="E7" s="240"/>
      <c r="F7" s="82">
        <f>Budget!E7</f>
        <v>1150</v>
      </c>
      <c r="G7" s="1"/>
      <c r="H7" s="20" t="s">
        <v>67</v>
      </c>
      <c r="I7" s="45">
        <f>'Cash Cost Sensitivities (2)'!A8</f>
        <v>0.04</v>
      </c>
      <c r="J7" s="1"/>
      <c r="K7" s="1"/>
    </row>
    <row r="8" spans="2:11" x14ac:dyDescent="0.35">
      <c r="B8" s="1"/>
      <c r="C8" s="1"/>
      <c r="D8" s="239" t="s">
        <v>56</v>
      </c>
      <c r="E8" s="240"/>
      <c r="F8" s="59"/>
      <c r="G8" s="1"/>
      <c r="H8" s="20" t="s">
        <v>62</v>
      </c>
      <c r="I8" s="45">
        <f>'Cash Cost Sensitivities (2)'!B8</f>
        <v>0.02</v>
      </c>
      <c r="J8" s="1"/>
      <c r="K8" s="1"/>
    </row>
    <row r="9" spans="2:11" ht="16" thickBot="1" x14ac:dyDescent="0.4">
      <c r="B9" s="1"/>
      <c r="C9" s="1"/>
      <c r="D9" s="237" t="s">
        <v>57</v>
      </c>
      <c r="E9" s="238"/>
      <c r="F9" s="60">
        <f>Budget!E9</f>
        <v>0.75</v>
      </c>
      <c r="G9" s="1"/>
      <c r="H9" s="44" t="s">
        <v>63</v>
      </c>
      <c r="I9" s="46">
        <f>'Cash Cost Sensitivities (2)'!C8</f>
        <v>0.02</v>
      </c>
      <c r="J9" s="1"/>
      <c r="K9" s="1"/>
    </row>
    <row r="10" spans="2:11" x14ac:dyDescent="0.35">
      <c r="B10" s="1"/>
      <c r="C10" s="1"/>
      <c r="D10" s="237" t="s">
        <v>58</v>
      </c>
      <c r="E10" s="238"/>
      <c r="F10" s="60">
        <f>Budget!E10</f>
        <v>0.8</v>
      </c>
      <c r="G10" s="1"/>
      <c r="H10" s="17"/>
      <c r="I10" s="1"/>
      <c r="J10" s="1"/>
      <c r="K10" s="1"/>
    </row>
    <row r="11" spans="2:11" x14ac:dyDescent="0.35">
      <c r="B11" s="1"/>
      <c r="C11" s="1"/>
      <c r="D11" s="237" t="s">
        <v>59</v>
      </c>
      <c r="E11" s="238"/>
      <c r="F11" s="132">
        <f>F9*F10</f>
        <v>0.60000000000000009</v>
      </c>
      <c r="G11" s="1"/>
      <c r="H11" s="138"/>
      <c r="I11" s="139"/>
      <c r="J11" s="1"/>
      <c r="K11" s="1"/>
    </row>
    <row r="12" spans="2:11" x14ac:dyDescent="0.35">
      <c r="B12" s="1"/>
      <c r="C12" s="1"/>
      <c r="D12" s="239" t="s">
        <v>52</v>
      </c>
      <c r="E12" s="240"/>
      <c r="F12" s="241"/>
      <c r="G12" s="1"/>
      <c r="H12" s="1"/>
      <c r="I12" s="1"/>
      <c r="J12" s="1"/>
      <c r="K12" s="1"/>
    </row>
    <row r="13" spans="2:11" x14ac:dyDescent="0.35">
      <c r="B13" s="1"/>
      <c r="C13" s="1"/>
      <c r="D13" s="237" t="s">
        <v>61</v>
      </c>
      <c r="E13" s="238"/>
      <c r="F13" s="60">
        <f>Budget!E13</f>
        <v>0.7</v>
      </c>
      <c r="G13" s="1"/>
      <c r="H13" s="1"/>
      <c r="I13" s="1"/>
      <c r="J13" s="1"/>
      <c r="K13" s="1"/>
    </row>
    <row r="14" spans="2:11" x14ac:dyDescent="0.35">
      <c r="B14" s="1"/>
      <c r="C14" s="1"/>
      <c r="D14" s="237" t="s">
        <v>62</v>
      </c>
      <c r="E14" s="238"/>
      <c r="F14" s="60">
        <f>Budget!E14</f>
        <v>0.2</v>
      </c>
      <c r="G14" s="1"/>
      <c r="H14" s="1"/>
      <c r="I14" s="1"/>
      <c r="J14" s="1"/>
      <c r="K14" s="1"/>
    </row>
    <row r="15" spans="2:11" x14ac:dyDescent="0.35">
      <c r="B15" s="1"/>
      <c r="C15" s="1"/>
      <c r="D15" s="237" t="s">
        <v>63</v>
      </c>
      <c r="E15" s="238"/>
      <c r="F15" s="105">
        <f>Budget!E15</f>
        <v>0.1</v>
      </c>
      <c r="G15" s="1"/>
      <c r="H15" s="1"/>
      <c r="I15" s="1"/>
      <c r="J15" s="1"/>
      <c r="K15" s="1"/>
    </row>
    <row r="16" spans="2:11" x14ac:dyDescent="0.35">
      <c r="B16" s="7"/>
      <c r="C16" s="7"/>
      <c r="D16" s="242" t="s">
        <v>103</v>
      </c>
      <c r="E16" s="243"/>
      <c r="F16" s="103"/>
      <c r="G16" s="1"/>
      <c r="H16" s="1"/>
      <c r="I16" s="1"/>
      <c r="J16" s="1"/>
      <c r="K16" s="1"/>
    </row>
    <row r="17" spans="2:11" x14ac:dyDescent="0.35">
      <c r="B17" s="1"/>
      <c r="C17" s="1"/>
      <c r="D17" s="250" t="s">
        <v>57</v>
      </c>
      <c r="E17" s="251"/>
      <c r="F17" s="106">
        <f>ROUND(F5/F6,0)</f>
        <v>100</v>
      </c>
      <c r="G17" s="1"/>
      <c r="H17" s="1"/>
      <c r="I17" s="1"/>
      <c r="J17" s="1"/>
      <c r="K17" s="1"/>
    </row>
    <row r="18" spans="2:11" ht="16" thickBot="1" x14ac:dyDescent="0.4">
      <c r="B18" s="2"/>
      <c r="C18" s="2"/>
      <c r="D18" s="252" t="s">
        <v>102</v>
      </c>
      <c r="E18" s="253"/>
      <c r="F18" s="104">
        <f>ROUND(F5*F9/F7,0)</f>
        <v>652</v>
      </c>
      <c r="G18" s="1"/>
      <c r="H18" s="1"/>
      <c r="I18" s="1"/>
      <c r="J18" s="1"/>
      <c r="K18" s="1"/>
    </row>
    <row r="19" spans="2:11" x14ac:dyDescent="0.35">
      <c r="B19" s="2"/>
      <c r="C19" s="2"/>
      <c r="D19" s="2"/>
      <c r="E19" s="14"/>
      <c r="F19" s="2"/>
      <c r="G19" s="1"/>
      <c r="H19" s="1"/>
      <c r="I19" s="1"/>
      <c r="J19" s="1"/>
      <c r="K19" s="1"/>
    </row>
    <row r="20" spans="2:11" ht="18.5" x14ac:dyDescent="0.45">
      <c r="B20" s="236" t="s">
        <v>12</v>
      </c>
      <c r="C20" s="236"/>
      <c r="D20" s="236"/>
      <c r="E20" s="236"/>
      <c r="F20" s="236"/>
      <c r="G20" s="236"/>
      <c r="H20" s="236"/>
      <c r="I20" s="236"/>
      <c r="J20" s="236"/>
      <c r="K20" s="236"/>
    </row>
    <row r="21" spans="2:11" ht="16" thickBot="1" x14ac:dyDescent="0.4">
      <c r="B21" s="23" t="s">
        <v>0</v>
      </c>
      <c r="C21" s="34" t="s">
        <v>1</v>
      </c>
      <c r="D21" s="33" t="s">
        <v>2</v>
      </c>
      <c r="E21" s="33" t="s">
        <v>72</v>
      </c>
      <c r="F21" s="33" t="s">
        <v>117</v>
      </c>
      <c r="G21" s="33" t="s">
        <v>3</v>
      </c>
      <c r="H21" s="33" t="s">
        <v>4</v>
      </c>
      <c r="I21" s="33" t="s">
        <v>5</v>
      </c>
      <c r="J21" s="33" t="s">
        <v>6</v>
      </c>
      <c r="K21" s="33" t="s">
        <v>7</v>
      </c>
    </row>
    <row r="22" spans="2:11" x14ac:dyDescent="0.35">
      <c r="B22" s="25" t="s">
        <v>8</v>
      </c>
      <c r="C22" s="68">
        <f>Budget!B22</f>
        <v>7</v>
      </c>
      <c r="D22" s="140">
        <f>Budget!C22</f>
        <v>4</v>
      </c>
      <c r="E22" s="146">
        <f>Budget!D22</f>
        <v>25</v>
      </c>
      <c r="F22" s="149">
        <f>Budget!E22</f>
        <v>175</v>
      </c>
      <c r="G22" s="149">
        <f>Budget!F22</f>
        <v>175</v>
      </c>
      <c r="H22" s="149">
        <f>Budget!G22</f>
        <v>180</v>
      </c>
      <c r="I22" s="149">
        <f>Budget!H22</f>
        <v>186</v>
      </c>
      <c r="J22" s="149">
        <f>Budget!I22</f>
        <v>191</v>
      </c>
      <c r="K22" s="149">
        <f>Budget!J22</f>
        <v>197</v>
      </c>
    </row>
    <row r="23" spans="2:11" x14ac:dyDescent="0.35">
      <c r="B23" s="16" t="s">
        <v>9</v>
      </c>
      <c r="C23" s="67">
        <f>Budget!B23</f>
        <v>6.2</v>
      </c>
      <c r="D23" s="141">
        <f>Budget!C23</f>
        <v>10</v>
      </c>
      <c r="E23" s="181">
        <f>Budget!D23</f>
        <v>65</v>
      </c>
      <c r="F23" s="150">
        <f>Budget!E23</f>
        <v>404</v>
      </c>
      <c r="G23" s="150">
        <f>Budget!F23</f>
        <v>403</v>
      </c>
      <c r="H23" s="150">
        <f>Budget!G23</f>
        <v>415</v>
      </c>
      <c r="I23" s="150">
        <f>Budget!H23</f>
        <v>428</v>
      </c>
      <c r="J23" s="150">
        <f>Budget!I23</f>
        <v>440</v>
      </c>
      <c r="K23" s="150">
        <f>Budget!J23</f>
        <v>454</v>
      </c>
    </row>
    <row r="24" spans="2:11" x14ac:dyDescent="0.35">
      <c r="B24" s="16" t="s">
        <v>10</v>
      </c>
      <c r="C24" s="67">
        <f>Budget!B24</f>
        <v>250</v>
      </c>
      <c r="D24" s="141">
        <f>Budget!C24</f>
        <v>3</v>
      </c>
      <c r="E24" s="182">
        <f>Budget!D24</f>
        <v>1</v>
      </c>
      <c r="F24" s="151">
        <f>Budget!E24</f>
        <v>0</v>
      </c>
      <c r="G24" s="150">
        <f>Budget!F24</f>
        <v>250</v>
      </c>
      <c r="H24" s="150">
        <f>Budget!G24</f>
        <v>0</v>
      </c>
      <c r="I24" s="150">
        <f>Budget!H24</f>
        <v>0</v>
      </c>
      <c r="J24" s="150">
        <f>Budget!I24</f>
        <v>273</v>
      </c>
      <c r="K24" s="150">
        <f>Budget!J24</f>
        <v>0</v>
      </c>
    </row>
    <row r="25" spans="2:11" x14ac:dyDescent="0.35">
      <c r="B25" s="16" t="s">
        <v>11</v>
      </c>
      <c r="C25" s="67">
        <f>Budget!B25</f>
        <v>18000</v>
      </c>
      <c r="D25" s="141">
        <f>Budget!C25</f>
        <v>7</v>
      </c>
      <c r="E25" s="141">
        <f>Budget!D25</f>
        <v>0</v>
      </c>
      <c r="F25" s="152">
        <f>Budget!E25</f>
        <v>0</v>
      </c>
      <c r="G25" s="150">
        <f>Budget!F25</f>
        <v>0</v>
      </c>
      <c r="H25" s="150">
        <f>Budget!G25</f>
        <v>0</v>
      </c>
      <c r="I25" s="150">
        <f>Budget!H25</f>
        <v>0</v>
      </c>
      <c r="J25" s="150">
        <f>Budget!I25</f>
        <v>0</v>
      </c>
      <c r="K25" s="150">
        <f>Budget!J25</f>
        <v>0</v>
      </c>
    </row>
    <row r="26" spans="2:11" x14ac:dyDescent="0.35">
      <c r="B26" s="16" t="s">
        <v>69</v>
      </c>
      <c r="C26" s="67">
        <f>Budget!B26</f>
        <v>28000</v>
      </c>
      <c r="D26" s="141">
        <f>Budget!C26</f>
        <v>10</v>
      </c>
      <c r="E26" s="141">
        <f>Budget!D26</f>
        <v>0</v>
      </c>
      <c r="F26" s="152">
        <f>Budget!E26</f>
        <v>0</v>
      </c>
      <c r="G26" s="150">
        <f>Budget!F26</f>
        <v>0</v>
      </c>
      <c r="H26" s="150">
        <f>Budget!G26</f>
        <v>0</v>
      </c>
      <c r="I26" s="150">
        <f>Budget!H26</f>
        <v>0</v>
      </c>
      <c r="J26" s="150">
        <f>Budget!I26</f>
        <v>0</v>
      </c>
      <c r="K26" s="150">
        <f>Budget!J26</f>
        <v>0</v>
      </c>
    </row>
    <row r="27" spans="2:11" x14ac:dyDescent="0.35">
      <c r="B27" s="16" t="s">
        <v>70</v>
      </c>
      <c r="C27" s="67">
        <f>Budget!B27</f>
        <v>10000</v>
      </c>
      <c r="D27" s="141">
        <f>Budget!C27</f>
        <v>3</v>
      </c>
      <c r="E27" s="141">
        <f>Budget!D27</f>
        <v>0</v>
      </c>
      <c r="F27" s="152">
        <f>Budget!E27</f>
        <v>0</v>
      </c>
      <c r="G27" s="150">
        <f>Budget!F27</f>
        <v>0</v>
      </c>
      <c r="H27" s="150">
        <f>Budget!G27</f>
        <v>0</v>
      </c>
      <c r="I27" s="150">
        <f>Budget!H27</f>
        <v>0</v>
      </c>
      <c r="J27" s="150">
        <f>Budget!I27</f>
        <v>0</v>
      </c>
      <c r="K27" s="150">
        <f>Budget!J27</f>
        <v>0</v>
      </c>
    </row>
    <row r="28" spans="2:11" ht="44" thickBot="1" x14ac:dyDescent="0.4">
      <c r="B28" s="98" t="s">
        <v>71</v>
      </c>
      <c r="C28" s="69">
        <f>Budget!B28</f>
        <v>1000</v>
      </c>
      <c r="D28" s="142">
        <f>Budget!C28</f>
        <v>5</v>
      </c>
      <c r="E28" s="142">
        <f>Budget!D28</f>
        <v>1</v>
      </c>
      <c r="F28" s="153">
        <f>Budget!E28</f>
        <v>0</v>
      </c>
      <c r="G28" s="154">
        <f>Budget!F28</f>
        <v>1000</v>
      </c>
      <c r="H28" s="154">
        <f>Budget!G28</f>
        <v>0</v>
      </c>
      <c r="I28" s="154">
        <f>Budget!H28</f>
        <v>0</v>
      </c>
      <c r="J28" s="154">
        <f>Budget!I28</f>
        <v>0</v>
      </c>
      <c r="K28" s="154">
        <f>Budget!J28</f>
        <v>0</v>
      </c>
    </row>
    <row r="29" spans="2:11" x14ac:dyDescent="0.35">
      <c r="B29" s="5" t="s">
        <v>45</v>
      </c>
      <c r="C29" s="6"/>
      <c r="D29" s="7"/>
      <c r="E29" s="7"/>
      <c r="F29" s="15"/>
      <c r="G29" s="15">
        <f>SUM(G22:G28)</f>
        <v>1828</v>
      </c>
      <c r="H29" s="15">
        <f>SUM(H22:H28)</f>
        <v>595</v>
      </c>
      <c r="I29" s="15">
        <f>SUM(I22:I28)</f>
        <v>614</v>
      </c>
      <c r="J29" s="15">
        <f>SUM(J22:J28)</f>
        <v>904</v>
      </c>
      <c r="K29" s="15">
        <f>SUM(K22:K28)</f>
        <v>651</v>
      </c>
    </row>
    <row r="30" spans="2:11" x14ac:dyDescent="0.35">
      <c r="B30" s="1"/>
      <c r="C30" s="1"/>
      <c r="D30" s="1"/>
      <c r="E30" s="4"/>
      <c r="F30" s="1"/>
      <c r="G30" s="1"/>
      <c r="H30" s="1"/>
      <c r="I30" s="1"/>
      <c r="J30" s="1"/>
      <c r="K30" s="1"/>
    </row>
    <row r="31" spans="2:11" x14ac:dyDescent="0.35">
      <c r="B31" s="107"/>
      <c r="C31" s="107"/>
      <c r="D31" s="107"/>
      <c r="E31" s="4"/>
      <c r="F31" s="1"/>
      <c r="G31" s="1"/>
      <c r="H31" s="1"/>
      <c r="I31" s="1"/>
      <c r="J31" s="1"/>
      <c r="K31" s="1"/>
    </row>
    <row r="32" spans="2:11" x14ac:dyDescent="0.35">
      <c r="B32" s="107"/>
      <c r="C32" s="107"/>
      <c r="D32" s="107"/>
      <c r="E32" s="4"/>
      <c r="F32" s="1"/>
      <c r="G32" s="1"/>
      <c r="H32" s="1"/>
      <c r="I32" s="1"/>
      <c r="J32" s="1"/>
      <c r="K32" s="1"/>
    </row>
    <row r="33" spans="2:11" x14ac:dyDescent="0.35">
      <c r="B33" s="107"/>
      <c r="C33" s="107"/>
      <c r="D33" s="107"/>
      <c r="E33" s="4"/>
      <c r="F33" s="1"/>
      <c r="G33" s="1"/>
      <c r="H33" s="1"/>
      <c r="I33" s="1"/>
      <c r="J33" s="1"/>
      <c r="K33" s="1"/>
    </row>
    <row r="34" spans="2:11" x14ac:dyDescent="0.35">
      <c r="B34" s="107"/>
      <c r="C34" s="107"/>
      <c r="D34" s="107"/>
      <c r="E34" s="4"/>
      <c r="F34" s="1"/>
      <c r="G34" s="1"/>
      <c r="H34" s="1"/>
      <c r="I34" s="1"/>
      <c r="J34" s="1"/>
      <c r="K34" s="1"/>
    </row>
    <row r="35" spans="2:11" x14ac:dyDescent="0.35">
      <c r="B35" s="107"/>
      <c r="C35" s="107"/>
      <c r="D35" s="107"/>
      <c r="E35" s="4"/>
      <c r="F35" s="1"/>
      <c r="G35" s="1"/>
      <c r="H35" s="1"/>
      <c r="I35" s="1"/>
      <c r="J35" s="1"/>
      <c r="K35" s="1"/>
    </row>
    <row r="36" spans="2:11" x14ac:dyDescent="0.35">
      <c r="B36" s="107"/>
      <c r="C36" s="107"/>
      <c r="D36" s="107"/>
      <c r="E36" s="4"/>
      <c r="F36" s="1"/>
      <c r="G36" s="1"/>
      <c r="H36" s="1"/>
      <c r="I36" s="1"/>
      <c r="J36" s="1"/>
      <c r="K36" s="1"/>
    </row>
    <row r="37" spans="2:11" ht="18.5" x14ac:dyDescent="0.45">
      <c r="B37" s="236" t="s">
        <v>14</v>
      </c>
      <c r="C37" s="236"/>
      <c r="D37" s="236"/>
      <c r="E37" s="236"/>
      <c r="F37" s="236"/>
      <c r="G37" s="236"/>
      <c r="H37" s="236"/>
      <c r="I37" s="236"/>
      <c r="J37" s="1"/>
      <c r="K37" s="1"/>
    </row>
    <row r="38" spans="2:11" ht="44" thickBot="1" x14ac:dyDescent="0.4">
      <c r="B38" s="33" t="s">
        <v>13</v>
      </c>
      <c r="C38" s="23" t="s">
        <v>107</v>
      </c>
      <c r="D38" s="122" t="s">
        <v>110</v>
      </c>
      <c r="E38" s="34" t="s">
        <v>3</v>
      </c>
      <c r="F38" s="33" t="s">
        <v>4</v>
      </c>
      <c r="G38" s="33" t="s">
        <v>5</v>
      </c>
      <c r="H38" s="33" t="s">
        <v>6</v>
      </c>
      <c r="I38" s="33" t="s">
        <v>7</v>
      </c>
      <c r="J38" s="1"/>
      <c r="K38" s="1"/>
    </row>
    <row r="39" spans="2:11" x14ac:dyDescent="0.35">
      <c r="B39" s="41" t="s">
        <v>14</v>
      </c>
      <c r="C39" s="1"/>
      <c r="D39" s="1"/>
      <c r="E39" s="32"/>
      <c r="F39" s="9"/>
      <c r="G39" s="9"/>
      <c r="H39" s="9"/>
      <c r="I39" s="102"/>
      <c r="J39" s="1"/>
      <c r="K39" s="1"/>
    </row>
    <row r="40" spans="2:11" x14ac:dyDescent="0.35">
      <c r="B40" s="25" t="s">
        <v>15</v>
      </c>
      <c r="C40" s="115">
        <f>F5</f>
        <v>1000000</v>
      </c>
      <c r="D40" s="118">
        <f>I5</f>
        <v>6.0000000000000001E-3</v>
      </c>
      <c r="E40" s="119">
        <f>C40*D40</f>
        <v>6000</v>
      </c>
      <c r="F40" s="30">
        <v>6000</v>
      </c>
      <c r="G40" s="30">
        <v>6000</v>
      </c>
      <c r="H40" s="30">
        <v>6000</v>
      </c>
      <c r="I40" s="30">
        <v>6000</v>
      </c>
      <c r="J40" s="12"/>
      <c r="K40" s="12"/>
    </row>
    <row r="41" spans="2:11" x14ac:dyDescent="0.35">
      <c r="B41" s="16" t="s">
        <v>108</v>
      </c>
      <c r="C41" s="116">
        <f>F17+F18</f>
        <v>752</v>
      </c>
      <c r="D41" s="67">
        <f>Budget!C35</f>
        <v>2</v>
      </c>
      <c r="E41" s="125">
        <f>C41*D41</f>
        <v>1504</v>
      </c>
      <c r="F41" s="29">
        <f>ROUND(E41+E41*0.03,0)</f>
        <v>1549</v>
      </c>
      <c r="G41" s="29">
        <f>ROUND(F41+F41*0.03,0)</f>
        <v>1595</v>
      </c>
      <c r="H41" s="29">
        <f t="shared" ref="H41:I52" si="0">ROUND(G41+G41*0.03,0)</f>
        <v>1643</v>
      </c>
      <c r="I41" s="29">
        <f t="shared" si="0"/>
        <v>1692</v>
      </c>
      <c r="J41" s="1"/>
      <c r="K41" s="1"/>
    </row>
    <row r="42" spans="2:11" x14ac:dyDescent="0.35">
      <c r="B42" s="16" t="s">
        <v>16</v>
      </c>
      <c r="C42" s="131">
        <f>Budget!B36</f>
        <v>205</v>
      </c>
      <c r="D42" s="67">
        <f>Budget!C36</f>
        <v>3.5</v>
      </c>
      <c r="E42" s="125">
        <f>C42*D42</f>
        <v>717.5</v>
      </c>
      <c r="F42" s="29">
        <f t="shared" ref="F42:G48" si="1">ROUND(E42+E42*0.03,0)</f>
        <v>739</v>
      </c>
      <c r="G42" s="29">
        <f t="shared" si="1"/>
        <v>761</v>
      </c>
      <c r="H42" s="29">
        <f t="shared" si="0"/>
        <v>784</v>
      </c>
      <c r="I42" s="29">
        <f t="shared" si="0"/>
        <v>808</v>
      </c>
      <c r="J42" s="1"/>
      <c r="K42" s="1"/>
    </row>
    <row r="43" spans="2:11" x14ac:dyDescent="0.35">
      <c r="B43" s="16" t="s">
        <v>17</v>
      </c>
      <c r="C43" s="131">
        <f>Budget!B37</f>
        <v>205</v>
      </c>
      <c r="D43" s="67">
        <f>Budget!C37</f>
        <v>3.5</v>
      </c>
      <c r="E43" s="125">
        <f>C43*D43</f>
        <v>717.5</v>
      </c>
      <c r="F43" s="29">
        <f t="shared" si="1"/>
        <v>739</v>
      </c>
      <c r="G43" s="29">
        <f t="shared" si="1"/>
        <v>761</v>
      </c>
      <c r="H43" s="29">
        <f t="shared" si="0"/>
        <v>784</v>
      </c>
      <c r="I43" s="29">
        <f t="shared" si="0"/>
        <v>808</v>
      </c>
      <c r="J43" s="1"/>
      <c r="K43" s="1"/>
    </row>
    <row r="44" spans="2:11" x14ac:dyDescent="0.35">
      <c r="B44" s="16" t="s">
        <v>18</v>
      </c>
      <c r="C44" s="164">
        <f>Budget!B38</f>
        <v>1</v>
      </c>
      <c r="D44" s="67">
        <f>Budget!C38</f>
        <v>100</v>
      </c>
      <c r="E44" s="125">
        <f>C44*D44</f>
        <v>100</v>
      </c>
      <c r="F44" s="29">
        <f t="shared" si="1"/>
        <v>103</v>
      </c>
      <c r="G44" s="29">
        <f t="shared" si="1"/>
        <v>106</v>
      </c>
      <c r="H44" s="29">
        <f t="shared" si="0"/>
        <v>109</v>
      </c>
      <c r="I44" s="29">
        <f t="shared" si="0"/>
        <v>112</v>
      </c>
      <c r="J44" s="1"/>
      <c r="K44" s="1"/>
    </row>
    <row r="45" spans="2:11" x14ac:dyDescent="0.35">
      <c r="B45" s="16" t="s">
        <v>77</v>
      </c>
      <c r="C45" s="121"/>
      <c r="D45" s="67">
        <f>Budget!C39</f>
        <v>2800</v>
      </c>
      <c r="E45" s="125">
        <f>D45</f>
        <v>2800</v>
      </c>
      <c r="F45" s="29">
        <f t="shared" si="1"/>
        <v>2884</v>
      </c>
      <c r="G45" s="29">
        <f t="shared" si="1"/>
        <v>2971</v>
      </c>
      <c r="H45" s="29">
        <f t="shared" si="0"/>
        <v>3060</v>
      </c>
      <c r="I45" s="29">
        <f t="shared" si="0"/>
        <v>3152</v>
      </c>
      <c r="J45" s="1"/>
      <c r="K45" s="1"/>
    </row>
    <row r="46" spans="2:11" x14ac:dyDescent="0.35">
      <c r="B46" s="16" t="s">
        <v>78</v>
      </c>
      <c r="C46" s="120">
        <f>ROUND(0.75*F17+0.9*F18,0)</f>
        <v>662</v>
      </c>
      <c r="D46" s="67">
        <f>Budget!C40</f>
        <v>1.25</v>
      </c>
      <c r="E46" s="125">
        <f>C46*D46</f>
        <v>827.5</v>
      </c>
      <c r="F46" s="29">
        <f t="shared" si="1"/>
        <v>852</v>
      </c>
      <c r="G46" s="29">
        <f t="shared" si="1"/>
        <v>878</v>
      </c>
      <c r="H46" s="29">
        <f t="shared" si="0"/>
        <v>904</v>
      </c>
      <c r="I46" s="29">
        <f t="shared" si="0"/>
        <v>931</v>
      </c>
      <c r="J46" s="1"/>
      <c r="K46" s="1"/>
    </row>
    <row r="47" spans="2:11" x14ac:dyDescent="0.35">
      <c r="B47" s="16" t="s">
        <v>111</v>
      </c>
      <c r="C47" s="120"/>
      <c r="D47" s="67">
        <f>Budget!C41</f>
        <v>4400</v>
      </c>
      <c r="E47" s="125">
        <f>D47</f>
        <v>4400</v>
      </c>
      <c r="F47" s="119">
        <f t="shared" si="1"/>
        <v>4532</v>
      </c>
      <c r="G47" s="119">
        <f t="shared" si="1"/>
        <v>4668</v>
      </c>
      <c r="H47" s="119">
        <f t="shared" si="0"/>
        <v>4808</v>
      </c>
      <c r="I47" s="119">
        <f t="shared" si="0"/>
        <v>4952</v>
      </c>
      <c r="J47" s="1"/>
      <c r="K47" s="1"/>
    </row>
    <row r="48" spans="2:11" x14ac:dyDescent="0.35">
      <c r="B48" s="16" t="s">
        <v>66</v>
      </c>
      <c r="C48" s="120"/>
      <c r="D48" s="67">
        <f>Budget!C42</f>
        <v>250</v>
      </c>
      <c r="E48" s="125">
        <f>D48</f>
        <v>250</v>
      </c>
      <c r="F48" s="29">
        <f t="shared" si="1"/>
        <v>258</v>
      </c>
      <c r="G48" s="29">
        <f t="shared" si="1"/>
        <v>266</v>
      </c>
      <c r="H48" s="29">
        <f t="shared" si="0"/>
        <v>274</v>
      </c>
      <c r="I48" s="29">
        <f t="shared" si="0"/>
        <v>282</v>
      </c>
      <c r="J48" s="1"/>
      <c r="K48" s="1"/>
    </row>
    <row r="49" spans="2:11" x14ac:dyDescent="0.35">
      <c r="B49" s="42" t="s">
        <v>68</v>
      </c>
      <c r="C49" s="114"/>
      <c r="D49" s="114"/>
      <c r="E49" s="126"/>
      <c r="F49" s="35"/>
      <c r="G49" s="35"/>
      <c r="H49" s="35"/>
      <c r="I49" s="36"/>
      <c r="J49" s="12"/>
      <c r="K49" s="12"/>
    </row>
    <row r="50" spans="2:11" x14ac:dyDescent="0.35">
      <c r="B50" s="16" t="s">
        <v>48</v>
      </c>
      <c r="C50" s="47">
        <f>Budget!B44</f>
        <v>1</v>
      </c>
      <c r="D50" s="47">
        <f>Budget!C44</f>
        <v>750</v>
      </c>
      <c r="E50" s="127">
        <v>750</v>
      </c>
      <c r="F50" s="29">
        <f>ROUND(E50+E50*0.03,0)</f>
        <v>773</v>
      </c>
      <c r="G50" s="29">
        <f>ROUND(F50+F50*0.03,0)</f>
        <v>796</v>
      </c>
      <c r="H50" s="29">
        <f t="shared" si="0"/>
        <v>820</v>
      </c>
      <c r="I50" s="29">
        <f t="shared" si="0"/>
        <v>845</v>
      </c>
      <c r="J50" s="1"/>
      <c r="K50" s="1"/>
    </row>
    <row r="51" spans="2:11" x14ac:dyDescent="0.35">
      <c r="B51" s="16" t="s">
        <v>49</v>
      </c>
      <c r="C51" s="47">
        <f>Budget!B45</f>
        <v>1</v>
      </c>
      <c r="D51" s="47">
        <f>Budget!C45</f>
        <v>250</v>
      </c>
      <c r="E51" s="127">
        <v>250</v>
      </c>
      <c r="F51" s="29">
        <v>250</v>
      </c>
      <c r="G51" s="29">
        <v>250</v>
      </c>
      <c r="H51" s="29">
        <v>250</v>
      </c>
      <c r="I51" s="29">
        <v>250</v>
      </c>
      <c r="J51" s="1"/>
      <c r="K51" s="1"/>
    </row>
    <row r="52" spans="2:11" x14ac:dyDescent="0.35">
      <c r="B52" s="16" t="s">
        <v>20</v>
      </c>
      <c r="C52" s="47">
        <f>Budget!B46</f>
        <v>1</v>
      </c>
      <c r="D52" s="47">
        <f>Budget!C46</f>
        <v>500</v>
      </c>
      <c r="E52" s="127">
        <v>500</v>
      </c>
      <c r="F52" s="29">
        <f>ROUND(E52+E52*0.03,0)</f>
        <v>515</v>
      </c>
      <c r="G52" s="29">
        <f>ROUND(F52+F52*0.03,0)</f>
        <v>530</v>
      </c>
      <c r="H52" s="29">
        <f t="shared" si="0"/>
        <v>546</v>
      </c>
      <c r="I52" s="29">
        <f t="shared" si="0"/>
        <v>562</v>
      </c>
      <c r="J52" s="1"/>
      <c r="K52" s="1"/>
    </row>
    <row r="53" spans="2:11" x14ac:dyDescent="0.35">
      <c r="B53" s="108" t="s">
        <v>104</v>
      </c>
      <c r="C53" s="130">
        <f>Budget!B47</f>
        <v>1</v>
      </c>
      <c r="D53" s="130">
        <f>Budget!C47</f>
        <v>27</v>
      </c>
      <c r="E53" s="128">
        <v>27</v>
      </c>
      <c r="F53" s="109">
        <v>27</v>
      </c>
      <c r="G53" s="109">
        <v>27</v>
      </c>
      <c r="H53" s="109">
        <v>27</v>
      </c>
      <c r="I53" s="109">
        <v>27</v>
      </c>
      <c r="J53" s="1"/>
      <c r="K53" s="1"/>
    </row>
    <row r="54" spans="2:11" ht="16" thickBot="1" x14ac:dyDescent="0.4">
      <c r="B54" s="27" t="s">
        <v>21</v>
      </c>
      <c r="C54" s="48">
        <f>Budget!B48</f>
        <v>1</v>
      </c>
      <c r="D54" s="48">
        <f>Budget!C48</f>
        <v>100</v>
      </c>
      <c r="E54" s="129">
        <v>100</v>
      </c>
      <c r="F54" s="110">
        <v>100</v>
      </c>
      <c r="G54" s="110">
        <v>100</v>
      </c>
      <c r="H54" s="110">
        <v>100</v>
      </c>
      <c r="I54" s="110">
        <v>100</v>
      </c>
      <c r="J54" s="1"/>
      <c r="K54" s="1"/>
    </row>
    <row r="55" spans="2:11" x14ac:dyDescent="0.35">
      <c r="B55" s="3" t="s">
        <v>22</v>
      </c>
      <c r="C55" s="3"/>
      <c r="D55" s="3"/>
      <c r="E55" s="10">
        <f>SUM(E40:E54)</f>
        <v>18943.5</v>
      </c>
      <c r="F55" s="10">
        <f>SUM(F40:F54)</f>
        <v>19321</v>
      </c>
      <c r="G55" s="10">
        <f>SUM(G40:G54)</f>
        <v>19709</v>
      </c>
      <c r="H55" s="10">
        <f>SUM(H40:H54)</f>
        <v>20109</v>
      </c>
      <c r="I55" s="10">
        <f>SUM(I40:I54)</f>
        <v>20521</v>
      </c>
      <c r="J55" s="1"/>
      <c r="K55" s="1"/>
    </row>
    <row r="56" spans="2:11" x14ac:dyDescent="0.35">
      <c r="B56" s="3"/>
      <c r="C56" s="3"/>
      <c r="D56" s="3"/>
      <c r="E56" s="10"/>
      <c r="F56" s="10"/>
      <c r="G56" s="10"/>
      <c r="H56" s="10"/>
      <c r="I56" s="10"/>
      <c r="J56" s="1"/>
      <c r="K56" s="1"/>
    </row>
    <row r="57" spans="2:11" x14ac:dyDescent="0.35">
      <c r="B57" s="3"/>
      <c r="C57" s="3"/>
      <c r="D57" s="3"/>
      <c r="E57" s="10"/>
      <c r="F57" s="10"/>
      <c r="G57" s="10"/>
      <c r="H57" s="10"/>
      <c r="I57" s="10"/>
      <c r="J57" s="1"/>
      <c r="K57" s="1"/>
    </row>
    <row r="58" spans="2:11" x14ac:dyDescent="0.35">
      <c r="B58" s="1"/>
      <c r="C58" s="1"/>
      <c r="D58" s="1"/>
      <c r="E58" s="8"/>
      <c r="F58" s="8"/>
      <c r="G58" s="8"/>
      <c r="H58" s="8"/>
      <c r="I58" s="8"/>
      <c r="J58" s="1"/>
      <c r="K58" s="1"/>
    </row>
    <row r="59" spans="2:11" ht="18.5" x14ac:dyDescent="0.45">
      <c r="B59" s="236" t="s">
        <v>76</v>
      </c>
      <c r="C59" s="236"/>
      <c r="D59" s="236"/>
      <c r="E59" s="236"/>
      <c r="F59" s="236"/>
      <c r="G59" s="236"/>
      <c r="H59" s="236"/>
      <c r="I59" s="236"/>
      <c r="J59" s="1"/>
      <c r="K59" s="1"/>
    </row>
    <row r="60" spans="2:11" ht="16" thickBot="1" x14ac:dyDescent="0.4">
      <c r="B60" s="37"/>
      <c r="C60" s="34" t="s">
        <v>3</v>
      </c>
      <c r="D60" s="33" t="s">
        <v>4</v>
      </c>
      <c r="E60" s="33" t="s">
        <v>5</v>
      </c>
      <c r="F60" s="33" t="s">
        <v>6</v>
      </c>
      <c r="G60" s="33" t="s">
        <v>7</v>
      </c>
      <c r="H60" s="1"/>
      <c r="I60" s="1"/>
      <c r="J60" s="1"/>
      <c r="K60" s="1"/>
    </row>
    <row r="61" spans="2:11" x14ac:dyDescent="0.35">
      <c r="B61" s="25" t="s">
        <v>23</v>
      </c>
      <c r="C61" s="155">
        <f>Budget!$B$56</f>
        <v>0</v>
      </c>
      <c r="D61" s="39">
        <f>C68</f>
        <v>-371.49999999999636</v>
      </c>
      <c r="E61" s="39">
        <f>D68</f>
        <v>112.50000000000728</v>
      </c>
      <c r="F61" s="39">
        <f>E68</f>
        <v>189.50000000001091</v>
      </c>
      <c r="G61" s="39">
        <f>F68</f>
        <v>-423.49999999998545</v>
      </c>
      <c r="H61" s="1"/>
      <c r="I61" s="1"/>
      <c r="J61" s="1"/>
      <c r="K61" s="1"/>
    </row>
    <row r="62" spans="2:11" x14ac:dyDescent="0.35">
      <c r="B62" s="16" t="s">
        <v>24</v>
      </c>
      <c r="C62" s="38">
        <f>F90</f>
        <v>20400.000000000004</v>
      </c>
      <c r="D62" s="38">
        <f>F90</f>
        <v>20400.000000000004</v>
      </c>
      <c r="E62" s="38">
        <f>F90</f>
        <v>20400.000000000004</v>
      </c>
      <c r="F62" s="38">
        <f>F90</f>
        <v>20400.000000000004</v>
      </c>
      <c r="G62" s="38">
        <f>F90</f>
        <v>20400.000000000004</v>
      </c>
      <c r="H62" s="1"/>
      <c r="I62" s="1"/>
      <c r="J62" s="1"/>
      <c r="K62" s="1"/>
    </row>
    <row r="63" spans="2:11" x14ac:dyDescent="0.35">
      <c r="B63" s="16" t="s">
        <v>25</v>
      </c>
      <c r="C63" s="38"/>
      <c r="D63" s="38"/>
      <c r="E63" s="38"/>
      <c r="F63" s="38"/>
      <c r="G63" s="38"/>
      <c r="H63" s="1"/>
      <c r="I63" s="1"/>
      <c r="J63" s="1"/>
      <c r="K63" s="1"/>
    </row>
    <row r="64" spans="2:11" x14ac:dyDescent="0.35">
      <c r="B64" s="16" t="s">
        <v>64</v>
      </c>
      <c r="C64" s="38">
        <f>E55</f>
        <v>18943.5</v>
      </c>
      <c r="D64" s="38">
        <f>F55</f>
        <v>19321</v>
      </c>
      <c r="E64" s="38">
        <f>G55</f>
        <v>19709</v>
      </c>
      <c r="F64" s="38">
        <f>H55</f>
        <v>20109</v>
      </c>
      <c r="G64" s="38">
        <f>I55</f>
        <v>20521</v>
      </c>
      <c r="H64" s="1"/>
      <c r="I64" s="1"/>
      <c r="J64" s="1"/>
      <c r="K64" s="1"/>
    </row>
    <row r="65" spans="2:11" x14ac:dyDescent="0.35">
      <c r="B65" s="16" t="s">
        <v>65</v>
      </c>
      <c r="C65" s="38">
        <f>G29</f>
        <v>1828</v>
      </c>
      <c r="D65" s="38">
        <f>H29</f>
        <v>595</v>
      </c>
      <c r="E65" s="38">
        <f>I29</f>
        <v>614</v>
      </c>
      <c r="F65" s="38">
        <f>J29</f>
        <v>904</v>
      </c>
      <c r="G65" s="38">
        <f>K29</f>
        <v>651</v>
      </c>
      <c r="H65" s="1"/>
      <c r="I65" s="1"/>
      <c r="J65" s="1"/>
      <c r="K65" s="1"/>
    </row>
    <row r="66" spans="2:11" x14ac:dyDescent="0.35">
      <c r="B66" s="16" t="s">
        <v>28</v>
      </c>
      <c r="C66" s="38">
        <f>C64+C65</f>
        <v>20771.5</v>
      </c>
      <c r="D66" s="38">
        <f>D64+D65</f>
        <v>19916</v>
      </c>
      <c r="E66" s="38">
        <f>E64+E65</f>
        <v>20323</v>
      </c>
      <c r="F66" s="38">
        <f>F64+F65</f>
        <v>21013</v>
      </c>
      <c r="G66" s="38">
        <f>G64+G65</f>
        <v>21172</v>
      </c>
      <c r="H66" s="1"/>
      <c r="I66" s="1"/>
      <c r="J66" s="1"/>
      <c r="K66" s="1"/>
    </row>
    <row r="67" spans="2:11" x14ac:dyDescent="0.35">
      <c r="B67" s="16" t="s">
        <v>26</v>
      </c>
      <c r="C67" s="38">
        <f>C62-C66</f>
        <v>-371.49999999999636</v>
      </c>
      <c r="D67" s="38">
        <f>D62-D66</f>
        <v>484.00000000000364</v>
      </c>
      <c r="E67" s="38">
        <f>E62-E66</f>
        <v>77.000000000003638</v>
      </c>
      <c r="F67" s="38">
        <f>F62-F66</f>
        <v>-612.99999999999636</v>
      </c>
      <c r="G67" s="38">
        <f>G62-G66</f>
        <v>-771.99999999999636</v>
      </c>
      <c r="H67" s="1"/>
      <c r="I67" s="1"/>
      <c r="J67" s="1"/>
      <c r="K67" s="1"/>
    </row>
    <row r="68" spans="2:11" x14ac:dyDescent="0.35">
      <c r="B68" s="16" t="s">
        <v>27</v>
      </c>
      <c r="C68" s="38">
        <f>C61+C67</f>
        <v>-371.49999999999636</v>
      </c>
      <c r="D68" s="38">
        <f>D61+D67</f>
        <v>112.50000000000728</v>
      </c>
      <c r="E68" s="38">
        <f>E61+E67</f>
        <v>189.50000000001091</v>
      </c>
      <c r="F68" s="38">
        <f>F61+F67</f>
        <v>-423.49999999998545</v>
      </c>
      <c r="G68" s="38">
        <f>G61+G67</f>
        <v>-1195.4999999999818</v>
      </c>
      <c r="H68" s="1"/>
      <c r="I68" s="1"/>
      <c r="J68" s="1"/>
      <c r="K68" s="1"/>
    </row>
    <row r="69" spans="2:11" x14ac:dyDescent="0.35">
      <c r="B69" s="7"/>
      <c r="C69" s="7"/>
      <c r="D69" s="7"/>
      <c r="E69" s="40"/>
      <c r="F69" s="40"/>
      <c r="G69" s="40"/>
      <c r="H69" s="40"/>
      <c r="I69" s="40"/>
      <c r="J69" s="1"/>
      <c r="K69" s="1"/>
    </row>
    <row r="70" spans="2:11" ht="21.5" x14ac:dyDescent="0.75">
      <c r="B70" s="107"/>
      <c r="C70" s="107"/>
      <c r="D70" s="107"/>
      <c r="E70" s="244" t="s">
        <v>118</v>
      </c>
      <c r="F70" s="244"/>
      <c r="G70" s="1"/>
      <c r="H70" s="1"/>
      <c r="I70" s="1"/>
      <c r="J70" s="1"/>
      <c r="K70" s="1"/>
    </row>
    <row r="71" spans="2:11" x14ac:dyDescent="0.35">
      <c r="B71" s="107"/>
      <c r="C71" s="107"/>
      <c r="D71" s="107"/>
      <c r="E71" s="145"/>
      <c r="F71" s="145"/>
      <c r="G71" s="1"/>
      <c r="H71" s="1"/>
      <c r="I71" s="1"/>
      <c r="J71" s="1"/>
      <c r="K71" s="1"/>
    </row>
    <row r="72" spans="2:11" ht="16" thickBot="1" x14ac:dyDescent="0.4">
      <c r="B72" s="23" t="str">
        <f>Budget!A68</f>
        <v>Capital Item</v>
      </c>
      <c r="C72" s="34" t="str">
        <f>Budget!B68</f>
        <v>Unit Cost</v>
      </c>
      <c r="D72" s="33" t="str">
        <f>Budget!C68</f>
        <v>Years of Life</v>
      </c>
      <c r="E72" s="33" t="str">
        <f>Budget!D68</f>
        <v>Year 1</v>
      </c>
      <c r="F72" s="33" t="str">
        <f>Budget!E68</f>
        <v>Year 2</v>
      </c>
      <c r="G72" s="33" t="str">
        <f>Budget!F68</f>
        <v>Year 3</v>
      </c>
      <c r="H72" s="33" t="str">
        <f>Budget!G68</f>
        <v>Year 4</v>
      </c>
      <c r="I72" s="33" t="str">
        <f>Budget!H68</f>
        <v>Year 5</v>
      </c>
      <c r="J72" s="1"/>
      <c r="K72" s="1"/>
    </row>
    <row r="73" spans="2:11" x14ac:dyDescent="0.35">
      <c r="B73" s="25" t="str">
        <f>Budget!A69</f>
        <v>Nursery Bag</v>
      </c>
      <c r="C73" s="144">
        <f>Budget!B69</f>
        <v>7</v>
      </c>
      <c r="D73" s="140">
        <f>Budget!C69</f>
        <v>4</v>
      </c>
      <c r="E73" s="26">
        <f>Budget!D69</f>
        <v>175</v>
      </c>
      <c r="F73" s="26">
        <f>Budget!E69</f>
        <v>180</v>
      </c>
      <c r="G73" s="26">
        <f>Budget!F69</f>
        <v>185</v>
      </c>
      <c r="H73" s="26">
        <f>Budget!G69</f>
        <v>191</v>
      </c>
      <c r="I73" s="26">
        <f>Budget!H69</f>
        <v>197</v>
      </c>
      <c r="J73" s="1"/>
      <c r="K73" s="1"/>
    </row>
    <row r="74" spans="2:11" x14ac:dyDescent="0.35">
      <c r="B74" s="16" t="str">
        <f>Budget!A70</f>
        <v>Growout Bag</v>
      </c>
      <c r="C74" s="144">
        <f>Budget!B70</f>
        <v>6.2</v>
      </c>
      <c r="D74" s="141">
        <f>Budget!C70</f>
        <v>10</v>
      </c>
      <c r="E74" s="26">
        <f>Budget!D70</f>
        <v>404</v>
      </c>
      <c r="F74" s="26">
        <f>Budget!E70</f>
        <v>416</v>
      </c>
      <c r="G74" s="26">
        <f>Budget!F70</f>
        <v>428</v>
      </c>
      <c r="H74" s="26">
        <f>Budget!G70</f>
        <v>441</v>
      </c>
      <c r="I74" s="26">
        <f>Budget!H70</f>
        <v>454</v>
      </c>
      <c r="J74" s="1"/>
      <c r="K74" s="1"/>
    </row>
    <row r="75" spans="2:11" x14ac:dyDescent="0.35">
      <c r="B75" s="16" t="str">
        <f>Budget!A71</f>
        <v>Wet Suit</v>
      </c>
      <c r="C75" s="144">
        <f>Budget!B71</f>
        <v>250</v>
      </c>
      <c r="D75" s="141">
        <f>Budget!C71</f>
        <v>3</v>
      </c>
      <c r="E75" s="24">
        <f>Budget!D71</f>
        <v>83.333333333333329</v>
      </c>
      <c r="F75" s="24">
        <f>Budget!E71</f>
        <v>86</v>
      </c>
      <c r="G75" s="24">
        <f>Budget!F71</f>
        <v>89</v>
      </c>
      <c r="H75" s="24">
        <f>Budget!G71</f>
        <v>92</v>
      </c>
      <c r="I75" s="24">
        <f>Budget!H71</f>
        <v>95</v>
      </c>
      <c r="J75" s="1"/>
      <c r="K75" s="1"/>
    </row>
    <row r="76" spans="2:11" x14ac:dyDescent="0.35">
      <c r="B76" s="16" t="str">
        <f>Budget!A72</f>
        <v>Boat</v>
      </c>
      <c r="C76" s="144">
        <f>Budget!B72</f>
        <v>18000</v>
      </c>
      <c r="D76" s="141">
        <f>Budget!C72</f>
        <v>7</v>
      </c>
      <c r="E76" s="24">
        <f>Budget!D72</f>
        <v>0</v>
      </c>
      <c r="F76" s="24">
        <f>Budget!E72</f>
        <v>0</v>
      </c>
      <c r="G76" s="24">
        <f>Budget!F72</f>
        <v>0</v>
      </c>
      <c r="H76" s="24">
        <f>Budget!G72</f>
        <v>0</v>
      </c>
      <c r="I76" s="24">
        <f>Budget!H72</f>
        <v>0</v>
      </c>
      <c r="J76" s="1"/>
      <c r="K76" s="1"/>
    </row>
    <row r="77" spans="2:11" x14ac:dyDescent="0.35">
      <c r="B77" s="16" t="str">
        <f>Budget!A73</f>
        <v>Truck</v>
      </c>
      <c r="C77" s="144">
        <f>Budget!B73</f>
        <v>28000</v>
      </c>
      <c r="D77" s="141">
        <f>Budget!C73</f>
        <v>10</v>
      </c>
      <c r="E77" s="24">
        <f>Budget!D73</f>
        <v>0</v>
      </c>
      <c r="F77" s="24">
        <f>Budget!E73</f>
        <v>0</v>
      </c>
      <c r="G77" s="24">
        <f>Budget!F73</f>
        <v>0</v>
      </c>
      <c r="H77" s="24">
        <f>Budget!G73</f>
        <v>0</v>
      </c>
      <c r="I77" s="24">
        <f>Budget!H73</f>
        <v>0</v>
      </c>
      <c r="J77" s="1"/>
      <c r="K77" s="1"/>
    </row>
    <row r="78" spans="2:11" x14ac:dyDescent="0.35">
      <c r="B78" s="16" t="str">
        <f>Budget!A74</f>
        <v>Motor</v>
      </c>
      <c r="C78" s="144">
        <f>Budget!B74</f>
        <v>10000</v>
      </c>
      <c r="D78" s="141">
        <f>Budget!C74</f>
        <v>3</v>
      </c>
      <c r="E78" s="24">
        <f>Budget!D74</f>
        <v>0</v>
      </c>
      <c r="F78" s="24">
        <f>Budget!E74</f>
        <v>0</v>
      </c>
      <c r="G78" s="24">
        <f>Budget!F74</f>
        <v>0</v>
      </c>
      <c r="H78" s="24">
        <f>Budget!G74</f>
        <v>0</v>
      </c>
      <c r="I78" s="24">
        <f>Budget!H74</f>
        <v>0</v>
      </c>
      <c r="J78" s="1"/>
      <c r="K78" s="1"/>
    </row>
    <row r="79" spans="2:11" ht="44" thickBot="1" x14ac:dyDescent="0.4">
      <c r="B79" s="98" t="str">
        <f>Budget!A75</f>
        <v>Winch/Davit/Boom/Pulley/Batteries</v>
      </c>
      <c r="C79" s="129">
        <f>Budget!B75</f>
        <v>1000</v>
      </c>
      <c r="D79" s="142">
        <f>Budget!C75</f>
        <v>5</v>
      </c>
      <c r="E79" s="28">
        <f>Budget!D75</f>
        <v>200</v>
      </c>
      <c r="F79" s="28">
        <f>Budget!E75</f>
        <v>206</v>
      </c>
      <c r="G79" s="28">
        <f>Budget!F75</f>
        <v>212</v>
      </c>
      <c r="H79" s="28">
        <f>Budget!G75</f>
        <v>218</v>
      </c>
      <c r="I79" s="28">
        <f>Budget!H75</f>
        <v>225</v>
      </c>
      <c r="J79" s="1"/>
      <c r="K79" s="1"/>
    </row>
    <row r="80" spans="2:11" x14ac:dyDescent="0.35">
      <c r="B80" s="5" t="str">
        <f>Budget!A76</f>
        <v xml:space="preserve">Total Investment </v>
      </c>
      <c r="C80" s="6">
        <f>Budget!B76</f>
        <v>0</v>
      </c>
      <c r="D80" s="7">
        <f>Budget!C76</f>
        <v>0</v>
      </c>
      <c r="E80" s="15">
        <f>Budget!D76</f>
        <v>862.33333333333337</v>
      </c>
      <c r="F80" s="15">
        <f>Budget!E76</f>
        <v>888</v>
      </c>
      <c r="G80" s="15">
        <f>Budget!F76</f>
        <v>914</v>
      </c>
      <c r="H80" s="15">
        <f>Budget!G76</f>
        <v>942</v>
      </c>
      <c r="I80" s="15">
        <f>Budget!H76</f>
        <v>971</v>
      </c>
      <c r="J80" s="1"/>
      <c r="K80" s="1"/>
    </row>
    <row r="81" spans="2:11" x14ac:dyDescent="0.35">
      <c r="B81" s="7"/>
      <c r="C81" s="7"/>
      <c r="D81" s="7"/>
      <c r="E81" s="40"/>
      <c r="F81" s="40"/>
      <c r="G81" s="40"/>
      <c r="H81" s="40"/>
      <c r="I81" s="40"/>
      <c r="J81" s="1"/>
      <c r="K81" s="1"/>
    </row>
    <row r="82" spans="2:11" x14ac:dyDescent="0.35">
      <c r="B82" s="1"/>
      <c r="C82" s="1"/>
      <c r="D82" s="1"/>
      <c r="E82" s="4"/>
      <c r="F82" s="1"/>
      <c r="G82" s="1"/>
      <c r="H82" s="1"/>
      <c r="I82" s="1"/>
      <c r="J82" s="1"/>
      <c r="K82" s="1"/>
    </row>
    <row r="83" spans="2:11" ht="18.5" x14ac:dyDescent="0.45">
      <c r="B83" s="236" t="s">
        <v>75</v>
      </c>
      <c r="C83" s="236"/>
      <c r="D83" s="236"/>
      <c r="E83" s="236"/>
      <c r="F83" s="236"/>
      <c r="G83" s="236"/>
      <c r="H83" s="143"/>
      <c r="I83" s="143"/>
      <c r="J83" s="1"/>
      <c r="K83" s="1"/>
    </row>
    <row r="84" spans="2:11" ht="16" thickBot="1" x14ac:dyDescent="0.4">
      <c r="B84" s="33" t="s">
        <v>29</v>
      </c>
      <c r="C84" s="33"/>
      <c r="D84" s="34" t="s">
        <v>30</v>
      </c>
      <c r="E84" s="33" t="s">
        <v>31</v>
      </c>
      <c r="F84" s="33" t="s">
        <v>32</v>
      </c>
      <c r="G84" s="1"/>
      <c r="H84" s="1"/>
      <c r="I84" s="1"/>
      <c r="J84" s="1"/>
      <c r="K84" s="1"/>
    </row>
    <row r="85" spans="2:11" x14ac:dyDescent="0.35">
      <c r="B85" s="31" t="s">
        <v>33</v>
      </c>
      <c r="C85" s="31"/>
      <c r="D85" s="6"/>
      <c r="E85" s="7"/>
      <c r="F85" s="7"/>
      <c r="G85" s="1"/>
      <c r="H85" s="1"/>
      <c r="I85" s="1"/>
      <c r="J85" s="1"/>
      <c r="K85" s="1"/>
    </row>
    <row r="86" spans="2:11" x14ac:dyDescent="0.35">
      <c r="B86" s="7" t="s">
        <v>34</v>
      </c>
      <c r="C86" s="7"/>
      <c r="D86" s="50">
        <f>F13*D90</f>
        <v>420000.00000000006</v>
      </c>
      <c r="E86" s="51">
        <f>I7</f>
        <v>0.04</v>
      </c>
      <c r="F86" s="11">
        <f>E86*D86</f>
        <v>16800.000000000004</v>
      </c>
      <c r="G86" s="1"/>
      <c r="H86" s="1"/>
      <c r="I86" s="1"/>
      <c r="J86" s="1"/>
      <c r="K86" s="1"/>
    </row>
    <row r="87" spans="2:11" x14ac:dyDescent="0.35">
      <c r="B87" s="7" t="s">
        <v>35</v>
      </c>
      <c r="C87" s="7"/>
      <c r="D87" s="50">
        <f>F14*D90</f>
        <v>120000.00000000003</v>
      </c>
      <c r="E87" s="51">
        <f>I8</f>
        <v>0.02</v>
      </c>
      <c r="F87" s="11">
        <f>E87*D87</f>
        <v>2400.0000000000005</v>
      </c>
      <c r="G87" s="1"/>
      <c r="H87" s="1"/>
      <c r="I87" s="1"/>
      <c r="J87" s="1"/>
      <c r="K87" s="1"/>
    </row>
    <row r="88" spans="2:11" x14ac:dyDescent="0.35">
      <c r="B88" s="7" t="s">
        <v>36</v>
      </c>
      <c r="C88" s="7"/>
      <c r="D88" s="50">
        <f>F15*D90</f>
        <v>60000.000000000015</v>
      </c>
      <c r="E88" s="52">
        <f>I9</f>
        <v>0.02</v>
      </c>
      <c r="F88" s="13">
        <f>E88*D88</f>
        <v>1200.0000000000002</v>
      </c>
      <c r="G88" s="1"/>
      <c r="H88" s="1"/>
      <c r="I88" s="1"/>
      <c r="J88" s="1"/>
      <c r="K88" s="1"/>
    </row>
    <row r="89" spans="2:11" x14ac:dyDescent="0.35">
      <c r="B89" s="261"/>
      <c r="C89" s="261"/>
      <c r="D89" s="261"/>
      <c r="E89" s="261"/>
      <c r="F89" s="261"/>
      <c r="G89" s="261"/>
      <c r="H89" s="1"/>
      <c r="I89" s="1"/>
      <c r="J89" s="1"/>
      <c r="K89" s="1"/>
    </row>
    <row r="90" spans="2:11" x14ac:dyDescent="0.35">
      <c r="B90" s="5" t="s">
        <v>79</v>
      </c>
      <c r="C90" s="5"/>
      <c r="D90" s="50">
        <f>D93*F11</f>
        <v>600000.00000000012</v>
      </c>
      <c r="E90" s="51"/>
      <c r="F90" s="53">
        <f>SUM(F86:F88)</f>
        <v>20400.000000000004</v>
      </c>
      <c r="G90" s="1"/>
      <c r="H90" s="1"/>
      <c r="I90" s="1"/>
      <c r="J90" s="1"/>
      <c r="K90" s="1"/>
    </row>
    <row r="91" spans="2:11" x14ac:dyDescent="0.35">
      <c r="B91" s="261"/>
      <c r="C91" s="261"/>
      <c r="D91" s="261"/>
      <c r="E91" s="261"/>
      <c r="F91" s="261"/>
      <c r="G91" s="261"/>
      <c r="H91" s="1"/>
      <c r="I91" s="1"/>
      <c r="J91" s="1"/>
      <c r="K91" s="1"/>
    </row>
    <row r="92" spans="2:11" x14ac:dyDescent="0.35">
      <c r="B92" s="31" t="s">
        <v>14</v>
      </c>
      <c r="C92" s="31"/>
      <c r="D92" s="31"/>
      <c r="E92" s="50"/>
      <c r="F92" s="51"/>
      <c r="G92" s="11"/>
      <c r="H92" s="1"/>
      <c r="I92" s="1"/>
      <c r="J92" s="1"/>
      <c r="K92" s="1"/>
    </row>
    <row r="93" spans="2:11" x14ac:dyDescent="0.35">
      <c r="B93" s="7" t="s">
        <v>82</v>
      </c>
      <c r="C93" s="7"/>
      <c r="D93" s="50">
        <f>F5</f>
        <v>1000000</v>
      </c>
      <c r="E93" s="52">
        <f>I5</f>
        <v>6.0000000000000001E-3</v>
      </c>
      <c r="F93" s="11">
        <f>E93*D93</f>
        <v>6000</v>
      </c>
      <c r="G93" s="1"/>
      <c r="H93" s="1"/>
      <c r="I93" s="1"/>
      <c r="J93" s="1"/>
      <c r="K93" s="1"/>
    </row>
    <row r="94" spans="2:11" x14ac:dyDescent="0.35">
      <c r="B94" s="7" t="s">
        <v>83</v>
      </c>
      <c r="C94" s="7"/>
      <c r="D94" s="50">
        <f>F18+F17</f>
        <v>752</v>
      </c>
      <c r="E94" s="11">
        <f>D41</f>
        <v>2</v>
      </c>
      <c r="F94" s="11">
        <f>E94*D94</f>
        <v>1504</v>
      </c>
      <c r="G94" s="1"/>
      <c r="H94" s="1"/>
      <c r="I94" s="1"/>
      <c r="J94" s="1"/>
      <c r="K94" s="1"/>
    </row>
    <row r="95" spans="2:11" x14ac:dyDescent="0.35">
      <c r="B95" s="7" t="s">
        <v>84</v>
      </c>
      <c r="C95" s="7"/>
      <c r="D95" s="50">
        <f>C42</f>
        <v>205</v>
      </c>
      <c r="E95" s="51">
        <f>D42</f>
        <v>3.5</v>
      </c>
      <c r="F95" s="11">
        <f>ROUND(E95*D95,0)</f>
        <v>718</v>
      </c>
      <c r="G95" s="1"/>
      <c r="H95" s="1"/>
      <c r="I95" s="1"/>
      <c r="J95" s="1"/>
      <c r="K95" s="1"/>
    </row>
    <row r="96" spans="2:11" x14ac:dyDescent="0.35">
      <c r="B96" s="7" t="s">
        <v>85</v>
      </c>
      <c r="C96" s="7"/>
      <c r="D96" s="50">
        <f>C43</f>
        <v>205</v>
      </c>
      <c r="E96" s="51">
        <f>D43</f>
        <v>3.5</v>
      </c>
      <c r="F96" s="11">
        <f>ROUND(E96*D96,0)</f>
        <v>718</v>
      </c>
      <c r="G96" s="1"/>
      <c r="H96" s="1"/>
      <c r="I96" s="1"/>
      <c r="J96" s="1"/>
      <c r="K96" s="1"/>
    </row>
    <row r="97" spans="2:11" x14ac:dyDescent="0.35">
      <c r="B97" s="7" t="s">
        <v>109</v>
      </c>
      <c r="C97" s="7"/>
      <c r="D97" s="50"/>
      <c r="E97" s="4"/>
      <c r="F97" s="11">
        <f>D45</f>
        <v>2800</v>
      </c>
      <c r="G97" s="1"/>
      <c r="H97" s="1"/>
      <c r="I97" s="1"/>
      <c r="J97" s="1"/>
      <c r="K97" s="1"/>
    </row>
    <row r="98" spans="2:11" x14ac:dyDescent="0.35">
      <c r="B98" s="7" t="s">
        <v>86</v>
      </c>
      <c r="C98" s="7"/>
      <c r="D98" s="50">
        <f>C46</f>
        <v>662</v>
      </c>
      <c r="E98" s="51">
        <f>D46</f>
        <v>1.25</v>
      </c>
      <c r="F98" s="11">
        <f>ROUND(E98*D98,0)</f>
        <v>828</v>
      </c>
      <c r="G98" s="1"/>
      <c r="H98" s="1"/>
      <c r="I98" s="1"/>
      <c r="J98" s="1"/>
      <c r="K98" s="1"/>
    </row>
    <row r="99" spans="2:11" x14ac:dyDescent="0.35">
      <c r="B99" s="7" t="s">
        <v>87</v>
      </c>
      <c r="C99" s="7"/>
      <c r="D99" s="50">
        <f>C44</f>
        <v>1</v>
      </c>
      <c r="E99" s="11">
        <f>D44</f>
        <v>100</v>
      </c>
      <c r="F99" s="11">
        <f>D99*E99</f>
        <v>100</v>
      </c>
      <c r="G99" s="1"/>
      <c r="H99" s="1"/>
      <c r="I99" s="1"/>
      <c r="J99" s="1"/>
      <c r="K99" s="1"/>
    </row>
    <row r="100" spans="2:11" x14ac:dyDescent="0.35">
      <c r="B100" s="7" t="s">
        <v>105</v>
      </c>
      <c r="C100" s="7"/>
      <c r="D100" s="50"/>
      <c r="E100" s="11"/>
      <c r="F100" s="11">
        <f>D47</f>
        <v>4400</v>
      </c>
      <c r="G100" s="1"/>
      <c r="H100" s="1"/>
      <c r="I100" s="1"/>
      <c r="J100" s="1"/>
      <c r="K100" s="1"/>
    </row>
    <row r="101" spans="2:11" x14ac:dyDescent="0.35">
      <c r="B101" s="7" t="s">
        <v>80</v>
      </c>
      <c r="C101" s="7"/>
      <c r="D101" s="50"/>
      <c r="E101" s="51"/>
      <c r="F101" s="13">
        <f>D48</f>
        <v>250</v>
      </c>
      <c r="G101" s="1"/>
      <c r="H101" s="1"/>
      <c r="I101" s="1"/>
      <c r="J101" s="1"/>
      <c r="K101" s="1"/>
    </row>
    <row r="102" spans="2:11" x14ac:dyDescent="0.35">
      <c r="B102" s="5" t="s">
        <v>37</v>
      </c>
      <c r="C102" s="5"/>
      <c r="D102" s="5"/>
      <c r="E102" s="50"/>
      <c r="F102" s="11">
        <f>SUM(F93:F101)</f>
        <v>17318</v>
      </c>
      <c r="G102" s="53"/>
      <c r="H102" s="1"/>
      <c r="I102" s="1"/>
      <c r="J102" s="1"/>
      <c r="K102" s="1"/>
    </row>
    <row r="103" spans="2:11" x14ac:dyDescent="0.35">
      <c r="B103" s="261"/>
      <c r="C103" s="261"/>
      <c r="D103" s="261"/>
      <c r="E103" s="261"/>
      <c r="F103" s="261"/>
      <c r="G103" s="261"/>
      <c r="H103" s="1"/>
      <c r="I103" s="1"/>
      <c r="J103" s="1"/>
      <c r="K103" s="1"/>
    </row>
    <row r="104" spans="2:11" x14ac:dyDescent="0.35">
      <c r="B104" s="31" t="s">
        <v>38</v>
      </c>
      <c r="C104" s="31"/>
      <c r="D104" s="31"/>
      <c r="E104" s="50"/>
      <c r="F104" s="51"/>
      <c r="G104" s="11"/>
      <c r="H104" s="1"/>
      <c r="I104" s="1"/>
      <c r="J104" s="1"/>
      <c r="K104" s="1"/>
    </row>
    <row r="105" spans="2:11" x14ac:dyDescent="0.35">
      <c r="B105" s="123" t="s">
        <v>19</v>
      </c>
      <c r="C105" s="7"/>
      <c r="D105" s="7"/>
      <c r="E105" s="6"/>
      <c r="F105" s="7"/>
      <c r="G105" s="7"/>
      <c r="H105" s="1"/>
      <c r="I105" s="1"/>
      <c r="J105" s="1"/>
      <c r="K105" s="1"/>
    </row>
    <row r="106" spans="2:11" x14ac:dyDescent="0.35">
      <c r="B106" s="7" t="s">
        <v>114</v>
      </c>
      <c r="C106" s="7"/>
      <c r="D106" s="50">
        <f t="shared" ref="D106:E110" si="2">C50</f>
        <v>1</v>
      </c>
      <c r="E106" s="11">
        <f t="shared" si="2"/>
        <v>750</v>
      </c>
      <c r="F106" s="11">
        <f>E106*D106</f>
        <v>750</v>
      </c>
      <c r="G106" s="1"/>
      <c r="H106" s="1"/>
      <c r="I106" s="1"/>
      <c r="J106" s="1"/>
      <c r="K106" s="1"/>
    </row>
    <row r="107" spans="2:11" x14ac:dyDescent="0.35">
      <c r="B107" s="7" t="s">
        <v>115</v>
      </c>
      <c r="C107" s="7"/>
      <c r="D107" s="50">
        <f t="shared" si="2"/>
        <v>1</v>
      </c>
      <c r="E107" s="11">
        <f t="shared" si="2"/>
        <v>250</v>
      </c>
      <c r="F107" s="11">
        <f>D107*E107</f>
        <v>250</v>
      </c>
      <c r="G107" s="1"/>
      <c r="H107" s="1"/>
      <c r="I107" s="1"/>
      <c r="J107" s="1"/>
      <c r="K107" s="1"/>
    </row>
    <row r="108" spans="2:11" x14ac:dyDescent="0.35">
      <c r="B108" s="7" t="s">
        <v>81</v>
      </c>
      <c r="C108" s="7"/>
      <c r="D108" s="50">
        <f t="shared" si="2"/>
        <v>1</v>
      </c>
      <c r="E108" s="11">
        <f t="shared" si="2"/>
        <v>500</v>
      </c>
      <c r="F108" s="11">
        <f>E108*D108</f>
        <v>500</v>
      </c>
      <c r="G108" s="1"/>
      <c r="H108" s="1"/>
      <c r="I108" s="1"/>
      <c r="J108" s="1"/>
      <c r="K108" s="1"/>
    </row>
    <row r="109" spans="2:11" x14ac:dyDescent="0.35">
      <c r="B109" s="7" t="s">
        <v>112</v>
      </c>
      <c r="C109" s="7"/>
      <c r="D109" s="50">
        <f t="shared" si="2"/>
        <v>1</v>
      </c>
      <c r="E109" s="11">
        <f t="shared" si="2"/>
        <v>27</v>
      </c>
      <c r="F109" s="11">
        <f>D109*E109</f>
        <v>27</v>
      </c>
      <c r="G109" s="1"/>
      <c r="H109" s="1"/>
      <c r="I109" s="1"/>
      <c r="J109" s="1"/>
      <c r="K109" s="1"/>
    </row>
    <row r="110" spans="2:11" x14ac:dyDescent="0.35">
      <c r="B110" s="7" t="s">
        <v>113</v>
      </c>
      <c r="C110" s="7"/>
      <c r="D110" s="50">
        <f t="shared" si="2"/>
        <v>1</v>
      </c>
      <c r="E110" s="11">
        <f t="shared" si="2"/>
        <v>100</v>
      </c>
      <c r="F110" s="11">
        <f>E110*D110</f>
        <v>100</v>
      </c>
      <c r="G110" s="1"/>
      <c r="H110" s="1"/>
      <c r="I110" s="1"/>
      <c r="J110" s="1"/>
      <c r="K110" s="1"/>
    </row>
    <row r="111" spans="2:11" x14ac:dyDescent="0.35">
      <c r="B111" s="261"/>
      <c r="C111" s="261"/>
      <c r="D111" s="261"/>
      <c r="E111" s="261"/>
      <c r="F111" s="261"/>
      <c r="G111" s="261"/>
      <c r="H111" s="1"/>
      <c r="I111" s="1"/>
      <c r="J111" s="1"/>
      <c r="K111" s="1"/>
    </row>
    <row r="112" spans="2:11" x14ac:dyDescent="0.35">
      <c r="B112" s="7" t="s">
        <v>39</v>
      </c>
      <c r="C112" s="7"/>
      <c r="D112" s="7"/>
      <c r="E112" s="6"/>
      <c r="F112" s="11">
        <f>ROUND(AVERAGE(G29:K29),0)</f>
        <v>918</v>
      </c>
      <c r="G112" s="1"/>
      <c r="H112" s="1"/>
      <c r="I112" s="1"/>
      <c r="J112" s="1"/>
      <c r="K112" s="1"/>
    </row>
    <row r="113" spans="2:11" x14ac:dyDescent="0.35">
      <c r="B113" s="7" t="s">
        <v>40</v>
      </c>
      <c r="C113" s="7"/>
      <c r="D113" s="7"/>
      <c r="E113" s="6"/>
      <c r="F113" s="13">
        <f>AVERAGE(E80:I80)</f>
        <v>915.46666666666681</v>
      </c>
      <c r="G113" s="1"/>
      <c r="H113" s="1"/>
      <c r="I113" s="1"/>
      <c r="J113" s="1"/>
      <c r="K113" s="1"/>
    </row>
    <row r="114" spans="2:11" x14ac:dyDescent="0.35">
      <c r="B114" s="5" t="s">
        <v>41</v>
      </c>
      <c r="C114" s="5"/>
      <c r="D114" s="5"/>
      <c r="E114" s="6"/>
      <c r="F114" s="53">
        <f>SUM(F106:F113)</f>
        <v>3460.4666666666667</v>
      </c>
      <c r="G114" s="1"/>
      <c r="H114" s="1"/>
      <c r="I114" s="1"/>
      <c r="J114" s="1"/>
      <c r="K114" s="1"/>
    </row>
    <row r="115" spans="2:11" x14ac:dyDescent="0.35">
      <c r="B115" s="5"/>
      <c r="C115" s="5"/>
      <c r="D115" s="5"/>
      <c r="E115" s="6"/>
      <c r="F115" s="53"/>
      <c r="G115" s="1"/>
      <c r="H115" s="1"/>
      <c r="I115" s="1"/>
      <c r="J115" s="1"/>
      <c r="K115" s="1"/>
    </row>
    <row r="116" spans="2:11" x14ac:dyDescent="0.35">
      <c r="B116" s="31" t="s">
        <v>90</v>
      </c>
      <c r="C116" s="31"/>
      <c r="D116" s="31"/>
      <c r="E116" s="6"/>
      <c r="F116" s="53">
        <f>F114+F102</f>
        <v>20778.466666666667</v>
      </c>
      <c r="G116" s="1"/>
      <c r="H116" s="1"/>
      <c r="I116" s="1"/>
      <c r="J116" s="1"/>
      <c r="K116" s="1"/>
    </row>
    <row r="117" spans="2:11" x14ac:dyDescent="0.35">
      <c r="B117" s="31"/>
      <c r="C117" s="31"/>
      <c r="D117" s="31"/>
      <c r="E117" s="6"/>
      <c r="F117" s="11"/>
      <c r="G117" s="1"/>
      <c r="H117" s="1"/>
      <c r="I117" s="1"/>
      <c r="J117" s="1"/>
      <c r="K117" s="1"/>
    </row>
    <row r="118" spans="2:11" x14ac:dyDescent="0.35">
      <c r="B118" s="31" t="s">
        <v>122</v>
      </c>
      <c r="C118" s="31"/>
      <c r="D118" s="31"/>
      <c r="E118" s="6"/>
      <c r="F118" s="11"/>
      <c r="G118" s="1"/>
      <c r="H118" s="1"/>
      <c r="I118" s="1"/>
      <c r="J118" s="1"/>
      <c r="K118" s="1"/>
    </row>
    <row r="119" spans="2:11" x14ac:dyDescent="0.35">
      <c r="B119" s="123" t="s">
        <v>123</v>
      </c>
      <c r="C119" s="31"/>
      <c r="D119" s="31"/>
      <c r="E119" s="6"/>
      <c r="F119" s="11"/>
      <c r="G119" s="1"/>
      <c r="H119" s="1"/>
      <c r="I119" s="1"/>
      <c r="J119" s="1"/>
      <c r="K119" s="1"/>
    </row>
    <row r="120" spans="2:11" x14ac:dyDescent="0.35">
      <c r="B120" s="5" t="s">
        <v>119</v>
      </c>
      <c r="C120" s="31"/>
      <c r="D120" s="31"/>
      <c r="E120" s="6"/>
      <c r="F120" s="11">
        <f>F90-(F116-F113)</f>
        <v>537.00000000000364</v>
      </c>
      <c r="G120" s="1"/>
      <c r="H120" s="1"/>
      <c r="I120" s="1"/>
      <c r="J120" s="1"/>
      <c r="K120" s="1"/>
    </row>
    <row r="121" spans="2:11" x14ac:dyDescent="0.35">
      <c r="B121" s="5" t="s">
        <v>120</v>
      </c>
      <c r="C121" s="31"/>
      <c r="D121" s="31"/>
      <c r="E121" s="6"/>
      <c r="F121" s="157">
        <f>(F116-F113)/D90</f>
        <v>3.3104999999999996E-2</v>
      </c>
      <c r="G121" s="1"/>
      <c r="H121" s="1"/>
      <c r="I121" s="1"/>
      <c r="J121" s="1"/>
      <c r="K121" s="1"/>
    </row>
    <row r="122" spans="2:11" x14ac:dyDescent="0.35">
      <c r="B122" s="5" t="s">
        <v>121</v>
      </c>
      <c r="C122" s="31"/>
      <c r="D122" s="31"/>
      <c r="E122" s="6"/>
      <c r="F122" s="55">
        <f>((F116-F113)/(E86*(D86/D90)+E87*(D87/D90)+E88*(D88/D90)))/D93</f>
        <v>0.58420588235294113</v>
      </c>
      <c r="G122" s="1"/>
      <c r="H122" s="1"/>
      <c r="I122" s="1"/>
      <c r="J122" s="1"/>
      <c r="K122" s="1"/>
    </row>
    <row r="123" spans="2:11" x14ac:dyDescent="0.35">
      <c r="B123" s="5"/>
      <c r="C123" s="31"/>
      <c r="D123" s="31"/>
      <c r="E123" s="6"/>
      <c r="F123" s="55"/>
      <c r="G123" s="1"/>
      <c r="H123" s="1"/>
      <c r="I123" s="1"/>
      <c r="J123" s="1"/>
      <c r="K123" s="1"/>
    </row>
    <row r="124" spans="2:11" x14ac:dyDescent="0.35">
      <c r="B124" s="158" t="s">
        <v>90</v>
      </c>
      <c r="C124" s="156"/>
      <c r="D124" s="156"/>
      <c r="E124" s="156"/>
      <c r="F124" s="156"/>
      <c r="G124" s="156"/>
      <c r="H124" s="1"/>
      <c r="I124" s="1"/>
      <c r="J124" s="1"/>
      <c r="K124" s="1"/>
    </row>
    <row r="125" spans="2:11" x14ac:dyDescent="0.35">
      <c r="B125" s="5" t="s">
        <v>42</v>
      </c>
      <c r="C125" s="5"/>
      <c r="D125" s="5"/>
      <c r="E125" s="6"/>
      <c r="F125" s="11">
        <f>F90-F116</f>
        <v>-378.46666666666351</v>
      </c>
      <c r="G125" s="1"/>
      <c r="H125" s="1"/>
      <c r="I125" s="1"/>
      <c r="J125" s="1"/>
      <c r="K125" s="1"/>
    </row>
    <row r="126" spans="2:11" x14ac:dyDescent="0.35">
      <c r="B126" s="5" t="s">
        <v>43</v>
      </c>
      <c r="C126" s="5"/>
      <c r="D126" s="5"/>
      <c r="E126" s="6"/>
      <c r="F126" s="54">
        <f>F116/D90</f>
        <v>3.4630777777777774E-2</v>
      </c>
      <c r="G126" s="1"/>
      <c r="H126" s="1"/>
      <c r="I126" s="1"/>
      <c r="J126" s="1"/>
      <c r="K126" s="1"/>
    </row>
    <row r="127" spans="2:11" x14ac:dyDescent="0.35">
      <c r="B127" s="5" t="s">
        <v>44</v>
      </c>
      <c r="C127" s="5"/>
      <c r="D127" s="5"/>
      <c r="E127" s="6"/>
      <c r="F127" s="55">
        <f>(F116/(E86*(D86/D90)+E87*(D87/D90)+E88*(D88/D90)))/D93</f>
        <v>0.6111313725490195</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 allowBlank="1" showInputMessage="1" showErrorMessage="1" sqref="I7:I9 I5 F6:F7 F9:F11 F13:F14">
      <formula1>0</formula1>
    </dataValidation>
    <dataValidation type="whole" operator="greaterThan" allowBlank="1" showInputMessage="1" showErrorMessage="1" sqref="C22:C28 D24:D28 E24 F53:I54 E50:E54 F5 E40:E41 F47:I47 E43:E48 D75:D79 C73:C79">
      <formula1>0</formula1>
    </dataValidation>
    <dataValidation type="whole" allowBlank="1" showInputMessage="1" showErrorMessage="1" sqref="E25:E28">
      <formula1>0</formula1>
      <formula2>1</formula2>
    </dataValidation>
    <dataValidation type="decimal" operator="greaterThanOrEqual" allowBlank="1" showInputMessage="1" showErrorMessage="1" sqref="F15">
      <formula1>0</formula1>
    </dataValidation>
  </dataValidations>
  <pageMargins left="0.75" right="0.75" top="1" bottom="1" header="0.5" footer="0.5"/>
  <pageSetup orientation="portrait" horizontalDpi="4294967292" verticalDpi="4294967292"/>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27"/>
  <sheetViews>
    <sheetView topLeftCell="A64" workbookViewId="0">
      <selection activeCell="H82" sqref="H82"/>
    </sheetView>
  </sheetViews>
  <sheetFormatPr defaultColWidth="11" defaultRowHeight="15.5" x14ac:dyDescent="0.35"/>
  <sheetData>
    <row r="3" spans="2:11" ht="16" thickBot="1" x14ac:dyDescent="0.4">
      <c r="B3" s="1"/>
      <c r="C3" s="1"/>
      <c r="D3" s="1"/>
      <c r="E3" s="66"/>
      <c r="F3" s="37"/>
      <c r="G3" s="7"/>
      <c r="H3" s="1"/>
      <c r="I3" s="1"/>
      <c r="J3" s="1"/>
      <c r="K3" s="1"/>
    </row>
    <row r="4" spans="2:11" x14ac:dyDescent="0.35">
      <c r="B4" s="1"/>
      <c r="C4" s="1"/>
      <c r="D4" s="18" t="s">
        <v>51</v>
      </c>
      <c r="E4" s="117"/>
      <c r="F4" s="19" t="s">
        <v>50</v>
      </c>
      <c r="G4" s="1"/>
      <c r="H4" s="18" t="s">
        <v>53</v>
      </c>
      <c r="I4" s="19" t="s">
        <v>54</v>
      </c>
      <c r="J4" s="1"/>
      <c r="K4" s="1"/>
    </row>
    <row r="5" spans="2:11" x14ac:dyDescent="0.35">
      <c r="B5" s="1"/>
      <c r="C5" s="1"/>
      <c r="D5" s="239" t="s">
        <v>73</v>
      </c>
      <c r="E5" s="240"/>
      <c r="F5" s="56">
        <f>Budget!E5</f>
        <v>1000000</v>
      </c>
      <c r="G5" s="1"/>
      <c r="H5" s="22" t="s">
        <v>46</v>
      </c>
      <c r="I5" s="62">
        <f>Budget!H5</f>
        <v>6.0000000000000001E-3</v>
      </c>
      <c r="J5" s="1"/>
      <c r="K5" s="1"/>
    </row>
    <row r="6" spans="2:11" x14ac:dyDescent="0.35">
      <c r="B6" s="1"/>
      <c r="C6" s="1"/>
      <c r="D6" s="247" t="s">
        <v>60</v>
      </c>
      <c r="E6" s="248"/>
      <c r="F6" s="57">
        <f>Budget!E6</f>
        <v>10000</v>
      </c>
      <c r="G6" s="1"/>
      <c r="H6" s="43" t="s">
        <v>47</v>
      </c>
      <c r="I6" s="21">
        <f>Budget!H6</f>
        <v>0</v>
      </c>
      <c r="J6" s="1"/>
      <c r="K6" s="1"/>
    </row>
    <row r="7" spans="2:11" x14ac:dyDescent="0.35">
      <c r="B7" s="1"/>
      <c r="C7" s="1"/>
      <c r="D7" s="239" t="s">
        <v>55</v>
      </c>
      <c r="E7" s="240"/>
      <c r="F7" s="82">
        <f>Budget!E7</f>
        <v>1150</v>
      </c>
      <c r="G7" s="1"/>
      <c r="H7" s="20" t="s">
        <v>67</v>
      </c>
      <c r="I7" s="45">
        <f>'Cash Cost Sensitivities (2)'!A7</f>
        <v>0.03</v>
      </c>
      <c r="J7" s="1"/>
      <c r="K7" s="1"/>
    </row>
    <row r="8" spans="2:11" x14ac:dyDescent="0.35">
      <c r="B8" s="1"/>
      <c r="C8" s="1"/>
      <c r="D8" s="239" t="s">
        <v>56</v>
      </c>
      <c r="E8" s="240"/>
      <c r="F8" s="59"/>
      <c r="G8" s="1"/>
      <c r="H8" s="20" t="s">
        <v>62</v>
      </c>
      <c r="I8" s="45">
        <f>'Cash Cost Sensitivities (2)'!B7</f>
        <v>0.01</v>
      </c>
      <c r="J8" s="1"/>
      <c r="K8" s="1"/>
    </row>
    <row r="9" spans="2:11" ht="16" thickBot="1" x14ac:dyDescent="0.4">
      <c r="B9" s="1"/>
      <c r="C9" s="1"/>
      <c r="D9" s="237" t="s">
        <v>57</v>
      </c>
      <c r="E9" s="238"/>
      <c r="F9" s="60">
        <f>Budget!E9</f>
        <v>0.75</v>
      </c>
      <c r="G9" s="1"/>
      <c r="H9" s="44" t="s">
        <v>63</v>
      </c>
      <c r="I9" s="46">
        <f>'Cash Cost Sensitivities (2)'!C7</f>
        <v>1.4999999999999999E-2</v>
      </c>
      <c r="J9" s="1"/>
      <c r="K9" s="1"/>
    </row>
    <row r="10" spans="2:11" x14ac:dyDescent="0.35">
      <c r="B10" s="1"/>
      <c r="C10" s="1"/>
      <c r="D10" s="237" t="s">
        <v>58</v>
      </c>
      <c r="E10" s="238"/>
      <c r="F10" s="60">
        <f>Budget!E10</f>
        <v>0.8</v>
      </c>
      <c r="G10" s="1"/>
      <c r="H10" s="17"/>
      <c r="I10" s="1"/>
      <c r="J10" s="1"/>
      <c r="K10" s="1"/>
    </row>
    <row r="11" spans="2:11" x14ac:dyDescent="0.35">
      <c r="B11" s="1"/>
      <c r="C11" s="1"/>
      <c r="D11" s="237" t="s">
        <v>59</v>
      </c>
      <c r="E11" s="238"/>
      <c r="F11" s="132">
        <f>F9*F10</f>
        <v>0.60000000000000009</v>
      </c>
      <c r="G11" s="1"/>
      <c r="H11" s="138"/>
      <c r="I11" s="139"/>
      <c r="J11" s="1"/>
      <c r="K11" s="1"/>
    </row>
    <row r="12" spans="2:11" x14ac:dyDescent="0.35">
      <c r="B12" s="1"/>
      <c r="C12" s="1"/>
      <c r="D12" s="239" t="s">
        <v>52</v>
      </c>
      <c r="E12" s="240"/>
      <c r="F12" s="241"/>
      <c r="G12" s="1"/>
      <c r="H12" s="1"/>
      <c r="I12" s="1"/>
      <c r="J12" s="1"/>
      <c r="K12" s="1"/>
    </row>
    <row r="13" spans="2:11" x14ac:dyDescent="0.35">
      <c r="B13" s="1"/>
      <c r="C13" s="1"/>
      <c r="D13" s="237" t="s">
        <v>61</v>
      </c>
      <c r="E13" s="238"/>
      <c r="F13" s="60">
        <f>Budget!E13</f>
        <v>0.7</v>
      </c>
      <c r="G13" s="1"/>
      <c r="H13" s="1"/>
      <c r="I13" s="1"/>
      <c r="J13" s="1"/>
      <c r="K13" s="1"/>
    </row>
    <row r="14" spans="2:11" x14ac:dyDescent="0.35">
      <c r="B14" s="1"/>
      <c r="C14" s="1"/>
      <c r="D14" s="237" t="s">
        <v>62</v>
      </c>
      <c r="E14" s="238"/>
      <c r="F14" s="60">
        <f>Budget!E14</f>
        <v>0.2</v>
      </c>
      <c r="G14" s="1"/>
      <c r="H14" s="1"/>
      <c r="I14" s="1"/>
      <c r="J14" s="1"/>
      <c r="K14" s="1"/>
    </row>
    <row r="15" spans="2:11" x14ac:dyDescent="0.35">
      <c r="B15" s="1"/>
      <c r="C15" s="1"/>
      <c r="D15" s="237" t="s">
        <v>63</v>
      </c>
      <c r="E15" s="238"/>
      <c r="F15" s="105">
        <f>Budget!E15</f>
        <v>0.1</v>
      </c>
      <c r="G15" s="1"/>
      <c r="H15" s="1"/>
      <c r="I15" s="1"/>
      <c r="J15" s="1"/>
      <c r="K15" s="1"/>
    </row>
    <row r="16" spans="2:11" x14ac:dyDescent="0.35">
      <c r="B16" s="7"/>
      <c r="C16" s="7"/>
      <c r="D16" s="242" t="s">
        <v>103</v>
      </c>
      <c r="E16" s="243"/>
      <c r="F16" s="103"/>
      <c r="G16" s="1"/>
      <c r="H16" s="1"/>
      <c r="I16" s="1"/>
      <c r="J16" s="1"/>
      <c r="K16" s="1"/>
    </row>
    <row r="17" spans="2:11" x14ac:dyDescent="0.35">
      <c r="B17" s="1"/>
      <c r="C17" s="1"/>
      <c r="D17" s="250" t="s">
        <v>57</v>
      </c>
      <c r="E17" s="251"/>
      <c r="F17" s="106">
        <f>ROUND(F5/F6,0)</f>
        <v>100</v>
      </c>
      <c r="G17" s="1"/>
      <c r="H17" s="1"/>
      <c r="I17" s="1"/>
      <c r="J17" s="1"/>
      <c r="K17" s="1"/>
    </row>
    <row r="18" spans="2:11" ht="16" thickBot="1" x14ac:dyDescent="0.4">
      <c r="B18" s="2"/>
      <c r="C18" s="2"/>
      <c r="D18" s="252" t="s">
        <v>102</v>
      </c>
      <c r="E18" s="253"/>
      <c r="F18" s="104">
        <f>ROUND(F5*F9/F7,0)</f>
        <v>652</v>
      </c>
      <c r="G18" s="1"/>
      <c r="H18" s="1"/>
      <c r="I18" s="1"/>
      <c r="J18" s="1"/>
      <c r="K18" s="1"/>
    </row>
    <row r="19" spans="2:11" x14ac:dyDescent="0.35">
      <c r="B19" s="2"/>
      <c r="C19" s="2"/>
      <c r="D19" s="2"/>
      <c r="E19" s="14"/>
      <c r="F19" s="2"/>
      <c r="G19" s="1"/>
      <c r="H19" s="1"/>
      <c r="I19" s="1"/>
      <c r="J19" s="1"/>
      <c r="K19" s="1"/>
    </row>
    <row r="20" spans="2:11" ht="18.5" x14ac:dyDescent="0.45">
      <c r="B20" s="236" t="s">
        <v>12</v>
      </c>
      <c r="C20" s="236"/>
      <c r="D20" s="236"/>
      <c r="E20" s="236"/>
      <c r="F20" s="236"/>
      <c r="G20" s="236"/>
      <c r="H20" s="236"/>
      <c r="I20" s="236"/>
      <c r="J20" s="236"/>
      <c r="K20" s="236"/>
    </row>
    <row r="21" spans="2:11" ht="16" thickBot="1" x14ac:dyDescent="0.4">
      <c r="B21" s="23" t="s">
        <v>0</v>
      </c>
      <c r="C21" s="34" t="s">
        <v>1</v>
      </c>
      <c r="D21" s="33" t="s">
        <v>2</v>
      </c>
      <c r="E21" s="33" t="s">
        <v>72</v>
      </c>
      <c r="F21" s="33" t="s">
        <v>117</v>
      </c>
      <c r="G21" s="33" t="s">
        <v>3</v>
      </c>
      <c r="H21" s="33" t="s">
        <v>4</v>
      </c>
      <c r="I21" s="33" t="s">
        <v>5</v>
      </c>
      <c r="J21" s="33" t="s">
        <v>6</v>
      </c>
      <c r="K21" s="33" t="s">
        <v>7</v>
      </c>
    </row>
    <row r="22" spans="2:11" x14ac:dyDescent="0.35">
      <c r="B22" s="25" t="s">
        <v>8</v>
      </c>
      <c r="C22" s="68">
        <f>Budget!B22</f>
        <v>7</v>
      </c>
      <c r="D22" s="140">
        <f>Budget!C22</f>
        <v>4</v>
      </c>
      <c r="E22" s="146">
        <f>Budget!D22</f>
        <v>25</v>
      </c>
      <c r="F22" s="149">
        <f>Budget!E22</f>
        <v>175</v>
      </c>
      <c r="G22" s="149">
        <f>Budget!F22</f>
        <v>175</v>
      </c>
      <c r="H22" s="149">
        <f>Budget!G22</f>
        <v>180</v>
      </c>
      <c r="I22" s="149">
        <f>Budget!H22</f>
        <v>186</v>
      </c>
      <c r="J22" s="149">
        <f>Budget!I22</f>
        <v>191</v>
      </c>
      <c r="K22" s="149">
        <f>Budget!J22</f>
        <v>197</v>
      </c>
    </row>
    <row r="23" spans="2:11" x14ac:dyDescent="0.35">
      <c r="B23" s="16" t="s">
        <v>9</v>
      </c>
      <c r="C23" s="67">
        <f>Budget!B23</f>
        <v>6.2</v>
      </c>
      <c r="D23" s="141">
        <f>Budget!C23</f>
        <v>10</v>
      </c>
      <c r="E23" s="181">
        <f>Budget!D23</f>
        <v>65</v>
      </c>
      <c r="F23" s="150">
        <f>Budget!E23</f>
        <v>404</v>
      </c>
      <c r="G23" s="150">
        <f>Budget!F23</f>
        <v>403</v>
      </c>
      <c r="H23" s="150">
        <f>Budget!G23</f>
        <v>415</v>
      </c>
      <c r="I23" s="150">
        <f>Budget!H23</f>
        <v>428</v>
      </c>
      <c r="J23" s="150">
        <f>Budget!I23</f>
        <v>440</v>
      </c>
      <c r="K23" s="150">
        <f>Budget!J23</f>
        <v>454</v>
      </c>
    </row>
    <row r="24" spans="2:11" x14ac:dyDescent="0.35">
      <c r="B24" s="16" t="s">
        <v>10</v>
      </c>
      <c r="C24" s="67">
        <f>Budget!B24</f>
        <v>250</v>
      </c>
      <c r="D24" s="141">
        <f>Budget!C24</f>
        <v>3</v>
      </c>
      <c r="E24" s="182">
        <f>Budget!D24</f>
        <v>1</v>
      </c>
      <c r="F24" s="151">
        <f>Budget!E24</f>
        <v>0</v>
      </c>
      <c r="G24" s="150">
        <f>Budget!F24</f>
        <v>250</v>
      </c>
      <c r="H24" s="150">
        <f>Budget!G24</f>
        <v>0</v>
      </c>
      <c r="I24" s="150">
        <f>Budget!H24</f>
        <v>0</v>
      </c>
      <c r="J24" s="150">
        <f>Budget!I24</f>
        <v>273</v>
      </c>
      <c r="K24" s="150">
        <f>Budget!J24</f>
        <v>0</v>
      </c>
    </row>
    <row r="25" spans="2:11" x14ac:dyDescent="0.35">
      <c r="B25" s="16" t="s">
        <v>11</v>
      </c>
      <c r="C25" s="67">
        <f>Budget!B25</f>
        <v>18000</v>
      </c>
      <c r="D25" s="141">
        <f>Budget!C25</f>
        <v>7</v>
      </c>
      <c r="E25" s="141">
        <f>Budget!D25</f>
        <v>0</v>
      </c>
      <c r="F25" s="152">
        <f>Budget!E25</f>
        <v>0</v>
      </c>
      <c r="G25" s="150">
        <f>Budget!F25</f>
        <v>0</v>
      </c>
      <c r="H25" s="150">
        <f>Budget!G25</f>
        <v>0</v>
      </c>
      <c r="I25" s="150">
        <f>Budget!H25</f>
        <v>0</v>
      </c>
      <c r="J25" s="150">
        <f>Budget!I25</f>
        <v>0</v>
      </c>
      <c r="K25" s="150">
        <f>Budget!J25</f>
        <v>0</v>
      </c>
    </row>
    <row r="26" spans="2:11" x14ac:dyDescent="0.35">
      <c r="B26" s="16" t="s">
        <v>69</v>
      </c>
      <c r="C26" s="67">
        <f>Budget!B26</f>
        <v>28000</v>
      </c>
      <c r="D26" s="141">
        <f>Budget!C26</f>
        <v>10</v>
      </c>
      <c r="E26" s="141">
        <f>Budget!D26</f>
        <v>0</v>
      </c>
      <c r="F26" s="152">
        <f>Budget!E26</f>
        <v>0</v>
      </c>
      <c r="G26" s="150">
        <f>Budget!F26</f>
        <v>0</v>
      </c>
      <c r="H26" s="150">
        <f>Budget!G26</f>
        <v>0</v>
      </c>
      <c r="I26" s="150">
        <f>Budget!H26</f>
        <v>0</v>
      </c>
      <c r="J26" s="150">
        <f>Budget!I26</f>
        <v>0</v>
      </c>
      <c r="K26" s="150">
        <f>Budget!J26</f>
        <v>0</v>
      </c>
    </row>
    <row r="27" spans="2:11" x14ac:dyDescent="0.35">
      <c r="B27" s="16" t="s">
        <v>70</v>
      </c>
      <c r="C27" s="67">
        <f>Budget!B27</f>
        <v>10000</v>
      </c>
      <c r="D27" s="141">
        <f>Budget!C27</f>
        <v>3</v>
      </c>
      <c r="E27" s="141">
        <f>Budget!D27</f>
        <v>0</v>
      </c>
      <c r="F27" s="152">
        <f>Budget!E27</f>
        <v>0</v>
      </c>
      <c r="G27" s="150">
        <f>Budget!F27</f>
        <v>0</v>
      </c>
      <c r="H27" s="150">
        <f>Budget!G27</f>
        <v>0</v>
      </c>
      <c r="I27" s="150">
        <f>Budget!H27</f>
        <v>0</v>
      </c>
      <c r="J27" s="150">
        <f>Budget!I27</f>
        <v>0</v>
      </c>
      <c r="K27" s="150">
        <f>Budget!J27</f>
        <v>0</v>
      </c>
    </row>
    <row r="28" spans="2:11" ht="44" thickBot="1" x14ac:dyDescent="0.4">
      <c r="B28" s="98" t="s">
        <v>71</v>
      </c>
      <c r="C28" s="69">
        <f>Budget!B28</f>
        <v>1000</v>
      </c>
      <c r="D28" s="142">
        <f>Budget!C28</f>
        <v>5</v>
      </c>
      <c r="E28" s="142">
        <f>Budget!D28</f>
        <v>1</v>
      </c>
      <c r="F28" s="153">
        <f>Budget!E28</f>
        <v>0</v>
      </c>
      <c r="G28" s="154">
        <f>Budget!F28</f>
        <v>1000</v>
      </c>
      <c r="H28" s="154">
        <f>Budget!G28</f>
        <v>0</v>
      </c>
      <c r="I28" s="154">
        <f>Budget!H28</f>
        <v>0</v>
      </c>
      <c r="J28" s="154">
        <f>Budget!I28</f>
        <v>0</v>
      </c>
      <c r="K28" s="154">
        <f>Budget!J28</f>
        <v>0</v>
      </c>
    </row>
    <row r="29" spans="2:11" x14ac:dyDescent="0.35">
      <c r="B29" s="5" t="s">
        <v>45</v>
      </c>
      <c r="C29" s="6"/>
      <c r="D29" s="7"/>
      <c r="E29" s="7"/>
      <c r="F29" s="15"/>
      <c r="G29" s="15">
        <f>SUM(G22:G28)</f>
        <v>1828</v>
      </c>
      <c r="H29" s="15">
        <f>SUM(H22:H28)</f>
        <v>595</v>
      </c>
      <c r="I29" s="15">
        <f>SUM(I22:I28)</f>
        <v>614</v>
      </c>
      <c r="J29" s="15">
        <f>SUM(J22:J28)</f>
        <v>904</v>
      </c>
      <c r="K29" s="15">
        <f>SUM(K22:K28)</f>
        <v>651</v>
      </c>
    </row>
    <row r="30" spans="2:11" x14ac:dyDescent="0.35">
      <c r="B30" s="1"/>
      <c r="C30" s="1"/>
      <c r="D30" s="1"/>
      <c r="E30" s="4"/>
      <c r="F30" s="1"/>
      <c r="G30" s="1"/>
      <c r="H30" s="1"/>
      <c r="I30" s="1"/>
      <c r="J30" s="1"/>
      <c r="K30" s="1"/>
    </row>
    <row r="31" spans="2:11" x14ac:dyDescent="0.35">
      <c r="B31" s="107"/>
      <c r="C31" s="107"/>
      <c r="D31" s="107"/>
      <c r="E31" s="4"/>
      <c r="F31" s="1"/>
      <c r="G31" s="1"/>
      <c r="H31" s="1"/>
      <c r="I31" s="1"/>
      <c r="J31" s="1"/>
      <c r="K31" s="1"/>
    </row>
    <row r="32" spans="2:11" x14ac:dyDescent="0.35">
      <c r="B32" s="107"/>
      <c r="C32" s="107"/>
      <c r="D32" s="107"/>
      <c r="E32" s="4"/>
      <c r="F32" s="1"/>
      <c r="G32" s="1"/>
      <c r="H32" s="1"/>
      <c r="I32" s="1"/>
      <c r="J32" s="1"/>
      <c r="K32" s="1"/>
    </row>
    <row r="33" spans="2:11" x14ac:dyDescent="0.35">
      <c r="B33" s="107"/>
      <c r="C33" s="107"/>
      <c r="D33" s="107"/>
      <c r="E33" s="4"/>
      <c r="F33" s="1"/>
      <c r="G33" s="1"/>
      <c r="H33" s="1"/>
      <c r="I33" s="1"/>
      <c r="J33" s="1"/>
      <c r="K33" s="1"/>
    </row>
    <row r="34" spans="2:11" x14ac:dyDescent="0.35">
      <c r="B34" s="107"/>
      <c r="C34" s="107"/>
      <c r="D34" s="107"/>
      <c r="E34" s="4"/>
      <c r="F34" s="1"/>
      <c r="G34" s="1"/>
      <c r="H34" s="1"/>
      <c r="I34" s="1"/>
      <c r="J34" s="1"/>
      <c r="K34" s="1"/>
    </row>
    <row r="35" spans="2:11" x14ac:dyDescent="0.35">
      <c r="B35" s="107"/>
      <c r="C35" s="107"/>
      <c r="D35" s="107"/>
      <c r="E35" s="4"/>
      <c r="F35" s="1"/>
      <c r="G35" s="1"/>
      <c r="H35" s="1"/>
      <c r="I35" s="1"/>
      <c r="J35" s="1"/>
      <c r="K35" s="1"/>
    </row>
    <row r="36" spans="2:11" x14ac:dyDescent="0.35">
      <c r="B36" s="107"/>
      <c r="C36" s="107"/>
      <c r="D36" s="107"/>
      <c r="E36" s="4"/>
      <c r="F36" s="1"/>
      <c r="G36" s="1"/>
      <c r="H36" s="1"/>
      <c r="I36" s="1"/>
      <c r="J36" s="1"/>
      <c r="K36" s="1"/>
    </row>
    <row r="37" spans="2:11" ht="18.5" x14ac:dyDescent="0.45">
      <c r="B37" s="236" t="s">
        <v>14</v>
      </c>
      <c r="C37" s="236"/>
      <c r="D37" s="236"/>
      <c r="E37" s="236"/>
      <c r="F37" s="236"/>
      <c r="G37" s="236"/>
      <c r="H37" s="236"/>
      <c r="I37" s="236"/>
      <c r="J37" s="1"/>
      <c r="K37" s="1"/>
    </row>
    <row r="38" spans="2:11" ht="44" thickBot="1" x14ac:dyDescent="0.4">
      <c r="B38" s="33" t="s">
        <v>13</v>
      </c>
      <c r="C38" s="23" t="s">
        <v>107</v>
      </c>
      <c r="D38" s="122" t="s">
        <v>110</v>
      </c>
      <c r="E38" s="34" t="s">
        <v>3</v>
      </c>
      <c r="F38" s="33" t="s">
        <v>4</v>
      </c>
      <c r="G38" s="33" t="s">
        <v>5</v>
      </c>
      <c r="H38" s="33" t="s">
        <v>6</v>
      </c>
      <c r="I38" s="33" t="s">
        <v>7</v>
      </c>
      <c r="J38" s="1"/>
      <c r="K38" s="1"/>
    </row>
    <row r="39" spans="2:11" x14ac:dyDescent="0.35">
      <c r="B39" s="41" t="s">
        <v>14</v>
      </c>
      <c r="C39" s="1"/>
      <c r="D39" s="1"/>
      <c r="E39" s="32"/>
      <c r="F39" s="9"/>
      <c r="G39" s="9"/>
      <c r="H39" s="9"/>
      <c r="I39" s="102"/>
      <c r="J39" s="1"/>
      <c r="K39" s="1"/>
    </row>
    <row r="40" spans="2:11" x14ac:dyDescent="0.35">
      <c r="B40" s="25" t="s">
        <v>15</v>
      </c>
      <c r="C40" s="115">
        <f>F5</f>
        <v>1000000</v>
      </c>
      <c r="D40" s="118">
        <f>I5</f>
        <v>6.0000000000000001E-3</v>
      </c>
      <c r="E40" s="119">
        <f>C40*D40</f>
        <v>6000</v>
      </c>
      <c r="F40" s="30">
        <v>6000</v>
      </c>
      <c r="G40" s="30">
        <v>6000</v>
      </c>
      <c r="H40" s="30">
        <v>6000</v>
      </c>
      <c r="I40" s="30">
        <v>6000</v>
      </c>
      <c r="J40" s="12"/>
      <c r="K40" s="12"/>
    </row>
    <row r="41" spans="2:11" x14ac:dyDescent="0.35">
      <c r="B41" s="16" t="s">
        <v>108</v>
      </c>
      <c r="C41" s="116">
        <f>F17+F18</f>
        <v>752</v>
      </c>
      <c r="D41" s="67">
        <f>Budget!C35</f>
        <v>2</v>
      </c>
      <c r="E41" s="125">
        <f>C41*D41</f>
        <v>1504</v>
      </c>
      <c r="F41" s="29">
        <f>ROUND(E41+E41*0.03,0)</f>
        <v>1549</v>
      </c>
      <c r="G41" s="29">
        <f>ROUND(F41+F41*0.03,0)</f>
        <v>1595</v>
      </c>
      <c r="H41" s="29">
        <f t="shared" ref="H41:I52" si="0">ROUND(G41+G41*0.03,0)</f>
        <v>1643</v>
      </c>
      <c r="I41" s="29">
        <f t="shared" si="0"/>
        <v>1692</v>
      </c>
      <c r="J41" s="1"/>
      <c r="K41" s="1"/>
    </row>
    <row r="42" spans="2:11" x14ac:dyDescent="0.35">
      <c r="B42" s="16" t="s">
        <v>16</v>
      </c>
      <c r="C42" s="131">
        <f>Budget!B36</f>
        <v>205</v>
      </c>
      <c r="D42" s="67">
        <f>Budget!C36</f>
        <v>3.5</v>
      </c>
      <c r="E42" s="125">
        <f>C42*D42</f>
        <v>717.5</v>
      </c>
      <c r="F42" s="29">
        <f t="shared" ref="F42:G48" si="1">ROUND(E42+E42*0.03,0)</f>
        <v>739</v>
      </c>
      <c r="G42" s="29">
        <f t="shared" si="1"/>
        <v>761</v>
      </c>
      <c r="H42" s="29">
        <f t="shared" si="0"/>
        <v>784</v>
      </c>
      <c r="I42" s="29">
        <f t="shared" si="0"/>
        <v>808</v>
      </c>
      <c r="J42" s="1"/>
      <c r="K42" s="1"/>
    </row>
    <row r="43" spans="2:11" x14ac:dyDescent="0.35">
      <c r="B43" s="16" t="s">
        <v>17</v>
      </c>
      <c r="C43" s="131">
        <f>Budget!B37</f>
        <v>205</v>
      </c>
      <c r="D43" s="67">
        <f>Budget!C37</f>
        <v>3.5</v>
      </c>
      <c r="E43" s="125">
        <f>C43*D43</f>
        <v>717.5</v>
      </c>
      <c r="F43" s="29">
        <f t="shared" si="1"/>
        <v>739</v>
      </c>
      <c r="G43" s="29">
        <f t="shared" si="1"/>
        <v>761</v>
      </c>
      <c r="H43" s="29">
        <f t="shared" si="0"/>
        <v>784</v>
      </c>
      <c r="I43" s="29">
        <f t="shared" si="0"/>
        <v>808</v>
      </c>
      <c r="J43" s="1"/>
      <c r="K43" s="1"/>
    </row>
    <row r="44" spans="2:11" x14ac:dyDescent="0.35">
      <c r="B44" s="16" t="s">
        <v>18</v>
      </c>
      <c r="C44" s="164">
        <f>Budget!B38</f>
        <v>1</v>
      </c>
      <c r="D44" s="67">
        <f>Budget!C38</f>
        <v>100</v>
      </c>
      <c r="E44" s="125">
        <f>C44*D44</f>
        <v>100</v>
      </c>
      <c r="F44" s="29">
        <f t="shared" si="1"/>
        <v>103</v>
      </c>
      <c r="G44" s="29">
        <f t="shared" si="1"/>
        <v>106</v>
      </c>
      <c r="H44" s="29">
        <f t="shared" si="0"/>
        <v>109</v>
      </c>
      <c r="I44" s="29">
        <f t="shared" si="0"/>
        <v>112</v>
      </c>
      <c r="J44" s="1"/>
      <c r="K44" s="1"/>
    </row>
    <row r="45" spans="2:11" x14ac:dyDescent="0.35">
      <c r="B45" s="16" t="s">
        <v>77</v>
      </c>
      <c r="C45" s="121"/>
      <c r="D45" s="67">
        <f>Budget!C39</f>
        <v>2800</v>
      </c>
      <c r="E45" s="125">
        <f>D45</f>
        <v>2800</v>
      </c>
      <c r="F45" s="29">
        <f t="shared" si="1"/>
        <v>2884</v>
      </c>
      <c r="G45" s="29">
        <f t="shared" si="1"/>
        <v>2971</v>
      </c>
      <c r="H45" s="29">
        <f t="shared" si="0"/>
        <v>3060</v>
      </c>
      <c r="I45" s="29">
        <f t="shared" si="0"/>
        <v>3152</v>
      </c>
      <c r="J45" s="1"/>
      <c r="K45" s="1"/>
    </row>
    <row r="46" spans="2:11" x14ac:dyDescent="0.35">
      <c r="B46" s="16" t="s">
        <v>78</v>
      </c>
      <c r="C46" s="120">
        <f>ROUND(0.75*F17+0.9*F18,0)</f>
        <v>662</v>
      </c>
      <c r="D46" s="67">
        <f>Budget!C40</f>
        <v>1.25</v>
      </c>
      <c r="E46" s="125">
        <f>C46*D46</f>
        <v>827.5</v>
      </c>
      <c r="F46" s="29">
        <f t="shared" si="1"/>
        <v>852</v>
      </c>
      <c r="G46" s="29">
        <f t="shared" si="1"/>
        <v>878</v>
      </c>
      <c r="H46" s="29">
        <f t="shared" si="0"/>
        <v>904</v>
      </c>
      <c r="I46" s="29">
        <f t="shared" si="0"/>
        <v>931</v>
      </c>
      <c r="J46" s="1"/>
      <c r="K46" s="1"/>
    </row>
    <row r="47" spans="2:11" x14ac:dyDescent="0.35">
      <c r="B47" s="16" t="s">
        <v>111</v>
      </c>
      <c r="C47" s="120"/>
      <c r="D47" s="67">
        <f>Budget!C41</f>
        <v>4400</v>
      </c>
      <c r="E47" s="125">
        <f>D47</f>
        <v>4400</v>
      </c>
      <c r="F47" s="119">
        <f t="shared" si="1"/>
        <v>4532</v>
      </c>
      <c r="G47" s="119">
        <f t="shared" si="1"/>
        <v>4668</v>
      </c>
      <c r="H47" s="119">
        <f t="shared" si="0"/>
        <v>4808</v>
      </c>
      <c r="I47" s="119">
        <f t="shared" si="0"/>
        <v>4952</v>
      </c>
      <c r="J47" s="1"/>
      <c r="K47" s="1"/>
    </row>
    <row r="48" spans="2:11" x14ac:dyDescent="0.35">
      <c r="B48" s="16" t="s">
        <v>66</v>
      </c>
      <c r="C48" s="120"/>
      <c r="D48" s="67">
        <f>Budget!C42</f>
        <v>250</v>
      </c>
      <c r="E48" s="125">
        <f>D48</f>
        <v>250</v>
      </c>
      <c r="F48" s="29">
        <f t="shared" si="1"/>
        <v>258</v>
      </c>
      <c r="G48" s="29">
        <f t="shared" si="1"/>
        <v>266</v>
      </c>
      <c r="H48" s="29">
        <f t="shared" si="0"/>
        <v>274</v>
      </c>
      <c r="I48" s="29">
        <f t="shared" si="0"/>
        <v>282</v>
      </c>
      <c r="J48" s="1"/>
      <c r="K48" s="1"/>
    </row>
    <row r="49" spans="2:11" x14ac:dyDescent="0.35">
      <c r="B49" s="42" t="s">
        <v>68</v>
      </c>
      <c r="C49" s="114"/>
      <c r="D49" s="114"/>
      <c r="E49" s="126"/>
      <c r="F49" s="35"/>
      <c r="G49" s="35"/>
      <c r="H49" s="35"/>
      <c r="I49" s="36"/>
      <c r="J49" s="12"/>
      <c r="K49" s="12"/>
    </row>
    <row r="50" spans="2:11" x14ac:dyDescent="0.35">
      <c r="B50" s="16" t="s">
        <v>48</v>
      </c>
      <c r="C50" s="47">
        <f>Budget!B44</f>
        <v>1</v>
      </c>
      <c r="D50" s="47">
        <f>Budget!C44</f>
        <v>750</v>
      </c>
      <c r="E50" s="127">
        <v>750</v>
      </c>
      <c r="F50" s="29">
        <f>ROUND(E50+E50*0.03,0)</f>
        <v>773</v>
      </c>
      <c r="G50" s="29">
        <f>ROUND(F50+F50*0.03,0)</f>
        <v>796</v>
      </c>
      <c r="H50" s="29">
        <f t="shared" si="0"/>
        <v>820</v>
      </c>
      <c r="I50" s="29">
        <f t="shared" si="0"/>
        <v>845</v>
      </c>
      <c r="J50" s="1"/>
      <c r="K50" s="1"/>
    </row>
    <row r="51" spans="2:11" x14ac:dyDescent="0.35">
      <c r="B51" s="16" t="s">
        <v>49</v>
      </c>
      <c r="C51" s="47">
        <f>Budget!B45</f>
        <v>1</v>
      </c>
      <c r="D51" s="47">
        <f>Budget!C45</f>
        <v>250</v>
      </c>
      <c r="E51" s="127">
        <v>250</v>
      </c>
      <c r="F51" s="29">
        <v>250</v>
      </c>
      <c r="G51" s="29">
        <v>250</v>
      </c>
      <c r="H51" s="29">
        <v>250</v>
      </c>
      <c r="I51" s="29">
        <v>250</v>
      </c>
      <c r="J51" s="1"/>
      <c r="K51" s="1"/>
    </row>
    <row r="52" spans="2:11" x14ac:dyDescent="0.35">
      <c r="B52" s="16" t="s">
        <v>20</v>
      </c>
      <c r="C52" s="47">
        <f>Budget!B46</f>
        <v>1</v>
      </c>
      <c r="D52" s="47">
        <f>Budget!C46</f>
        <v>500</v>
      </c>
      <c r="E52" s="127">
        <v>500</v>
      </c>
      <c r="F52" s="29">
        <f>ROUND(E52+E52*0.03,0)</f>
        <v>515</v>
      </c>
      <c r="G52" s="29">
        <f>ROUND(F52+F52*0.03,0)</f>
        <v>530</v>
      </c>
      <c r="H52" s="29">
        <f t="shared" si="0"/>
        <v>546</v>
      </c>
      <c r="I52" s="29">
        <f t="shared" si="0"/>
        <v>562</v>
      </c>
      <c r="J52" s="1"/>
      <c r="K52" s="1"/>
    </row>
    <row r="53" spans="2:11" x14ac:dyDescent="0.35">
      <c r="B53" s="108" t="s">
        <v>104</v>
      </c>
      <c r="C53" s="130">
        <f>Budget!B47</f>
        <v>1</v>
      </c>
      <c r="D53" s="130">
        <f>Budget!C47</f>
        <v>27</v>
      </c>
      <c r="E53" s="128">
        <v>27</v>
      </c>
      <c r="F53" s="109">
        <v>27</v>
      </c>
      <c r="G53" s="109">
        <v>27</v>
      </c>
      <c r="H53" s="109">
        <v>27</v>
      </c>
      <c r="I53" s="109">
        <v>27</v>
      </c>
      <c r="J53" s="1"/>
      <c r="K53" s="1"/>
    </row>
    <row r="54" spans="2:11" ht="16" thickBot="1" x14ac:dyDescent="0.4">
      <c r="B54" s="27" t="s">
        <v>21</v>
      </c>
      <c r="C54" s="48">
        <f>Budget!B48</f>
        <v>1</v>
      </c>
      <c r="D54" s="48">
        <f>Budget!C48</f>
        <v>100</v>
      </c>
      <c r="E54" s="129">
        <v>100</v>
      </c>
      <c r="F54" s="110">
        <v>100</v>
      </c>
      <c r="G54" s="110">
        <v>100</v>
      </c>
      <c r="H54" s="110">
        <v>100</v>
      </c>
      <c r="I54" s="110">
        <v>100</v>
      </c>
      <c r="J54" s="1"/>
      <c r="K54" s="1"/>
    </row>
    <row r="55" spans="2:11" x14ac:dyDescent="0.35">
      <c r="B55" s="3" t="s">
        <v>22</v>
      </c>
      <c r="C55" s="3"/>
      <c r="D55" s="3"/>
      <c r="E55" s="10">
        <f>SUM(E40:E54)</f>
        <v>18943.5</v>
      </c>
      <c r="F55" s="10">
        <f>SUM(F40:F54)</f>
        <v>19321</v>
      </c>
      <c r="G55" s="10">
        <f>SUM(G40:G54)</f>
        <v>19709</v>
      </c>
      <c r="H55" s="10">
        <f>SUM(H40:H54)</f>
        <v>20109</v>
      </c>
      <c r="I55" s="10">
        <f>SUM(I40:I54)</f>
        <v>20521</v>
      </c>
      <c r="J55" s="1"/>
      <c r="K55" s="1"/>
    </row>
    <row r="56" spans="2:11" x14ac:dyDescent="0.35">
      <c r="B56" s="3"/>
      <c r="C56" s="3"/>
      <c r="D56" s="3"/>
      <c r="E56" s="10"/>
      <c r="F56" s="10"/>
      <c r="G56" s="10"/>
      <c r="H56" s="10"/>
      <c r="I56" s="10"/>
      <c r="J56" s="1"/>
      <c r="K56" s="1"/>
    </row>
    <row r="57" spans="2:11" x14ac:dyDescent="0.35">
      <c r="B57" s="3"/>
      <c r="C57" s="3"/>
      <c r="D57" s="3"/>
      <c r="E57" s="10"/>
      <c r="F57" s="10"/>
      <c r="G57" s="10"/>
      <c r="H57" s="10"/>
      <c r="I57" s="10"/>
      <c r="J57" s="1"/>
      <c r="K57" s="1"/>
    </row>
    <row r="58" spans="2:11" x14ac:dyDescent="0.35">
      <c r="B58" s="1"/>
      <c r="C58" s="1"/>
      <c r="D58" s="1"/>
      <c r="E58" s="8"/>
      <c r="F58" s="8"/>
      <c r="G58" s="8"/>
      <c r="H58" s="8"/>
      <c r="I58" s="8"/>
      <c r="J58" s="1"/>
      <c r="K58" s="1"/>
    </row>
    <row r="59" spans="2:11" ht="18.5" x14ac:dyDescent="0.45">
      <c r="B59" s="236" t="s">
        <v>76</v>
      </c>
      <c r="C59" s="236"/>
      <c r="D59" s="236"/>
      <c r="E59" s="236"/>
      <c r="F59" s="236"/>
      <c r="G59" s="236"/>
      <c r="H59" s="236"/>
      <c r="I59" s="236"/>
      <c r="J59" s="1"/>
      <c r="K59" s="1"/>
    </row>
    <row r="60" spans="2:11" ht="16" thickBot="1" x14ac:dyDescent="0.4">
      <c r="B60" s="37"/>
      <c r="C60" s="34" t="s">
        <v>3</v>
      </c>
      <c r="D60" s="33" t="s">
        <v>4</v>
      </c>
      <c r="E60" s="33" t="s">
        <v>5</v>
      </c>
      <c r="F60" s="33" t="s">
        <v>6</v>
      </c>
      <c r="G60" s="33" t="s">
        <v>7</v>
      </c>
      <c r="H60" s="1"/>
      <c r="I60" s="1"/>
      <c r="J60" s="1"/>
      <c r="K60" s="1"/>
    </row>
    <row r="61" spans="2:11" x14ac:dyDescent="0.35">
      <c r="B61" s="25" t="s">
        <v>23</v>
      </c>
      <c r="C61" s="155">
        <f>Budget!$B$56</f>
        <v>0</v>
      </c>
      <c r="D61" s="39">
        <f>C68</f>
        <v>-6071.4999999999982</v>
      </c>
      <c r="E61" s="39">
        <f>D68</f>
        <v>-11287.499999999996</v>
      </c>
      <c r="F61" s="39">
        <f>E68</f>
        <v>-16910.499999999993</v>
      </c>
      <c r="G61" s="39">
        <f>F68</f>
        <v>-23223.499999999993</v>
      </c>
      <c r="H61" s="1"/>
      <c r="I61" s="1"/>
      <c r="J61" s="1"/>
      <c r="K61" s="1"/>
    </row>
    <row r="62" spans="2:11" x14ac:dyDescent="0.35">
      <c r="B62" s="16" t="s">
        <v>24</v>
      </c>
      <c r="C62" s="38">
        <f>F90</f>
        <v>14700.000000000002</v>
      </c>
      <c r="D62" s="38">
        <f>F90</f>
        <v>14700.000000000002</v>
      </c>
      <c r="E62" s="38">
        <f>F90</f>
        <v>14700.000000000002</v>
      </c>
      <c r="F62" s="38">
        <f>F90</f>
        <v>14700.000000000002</v>
      </c>
      <c r="G62" s="38">
        <f>F90</f>
        <v>14700.000000000002</v>
      </c>
      <c r="H62" s="1"/>
      <c r="I62" s="1"/>
      <c r="J62" s="1"/>
      <c r="K62" s="1"/>
    </row>
    <row r="63" spans="2:11" x14ac:dyDescent="0.35">
      <c r="B63" s="16" t="s">
        <v>25</v>
      </c>
      <c r="C63" s="38"/>
      <c r="D63" s="38"/>
      <c r="E63" s="38"/>
      <c r="F63" s="38"/>
      <c r="G63" s="38"/>
      <c r="H63" s="1"/>
      <c r="I63" s="1"/>
      <c r="J63" s="1"/>
      <c r="K63" s="1"/>
    </row>
    <row r="64" spans="2:11" x14ac:dyDescent="0.35">
      <c r="B64" s="16" t="s">
        <v>64</v>
      </c>
      <c r="C64" s="38">
        <f>E55</f>
        <v>18943.5</v>
      </c>
      <c r="D64" s="38">
        <f>F55</f>
        <v>19321</v>
      </c>
      <c r="E64" s="38">
        <f>G55</f>
        <v>19709</v>
      </c>
      <c r="F64" s="38">
        <f>H55</f>
        <v>20109</v>
      </c>
      <c r="G64" s="38">
        <f>I55</f>
        <v>20521</v>
      </c>
      <c r="H64" s="1"/>
      <c r="I64" s="1"/>
      <c r="J64" s="1"/>
      <c r="K64" s="1"/>
    </row>
    <row r="65" spans="2:11" x14ac:dyDescent="0.35">
      <c r="B65" s="16" t="s">
        <v>65</v>
      </c>
      <c r="C65" s="38">
        <f>G29</f>
        <v>1828</v>
      </c>
      <c r="D65" s="38">
        <f>H29</f>
        <v>595</v>
      </c>
      <c r="E65" s="38">
        <f>I29</f>
        <v>614</v>
      </c>
      <c r="F65" s="38">
        <f>J29</f>
        <v>904</v>
      </c>
      <c r="G65" s="38">
        <f>K29</f>
        <v>651</v>
      </c>
      <c r="H65" s="1"/>
      <c r="I65" s="1"/>
      <c r="J65" s="1"/>
      <c r="K65" s="1"/>
    </row>
    <row r="66" spans="2:11" x14ac:dyDescent="0.35">
      <c r="B66" s="16" t="s">
        <v>28</v>
      </c>
      <c r="C66" s="38">
        <f>C64+C65</f>
        <v>20771.5</v>
      </c>
      <c r="D66" s="38">
        <f>D64+D65</f>
        <v>19916</v>
      </c>
      <c r="E66" s="38">
        <f>E64+E65</f>
        <v>20323</v>
      </c>
      <c r="F66" s="38">
        <f>F64+F65</f>
        <v>21013</v>
      </c>
      <c r="G66" s="38">
        <f>G64+G65</f>
        <v>21172</v>
      </c>
      <c r="H66" s="1"/>
      <c r="I66" s="1"/>
      <c r="J66" s="1"/>
      <c r="K66" s="1"/>
    </row>
    <row r="67" spans="2:11" x14ac:dyDescent="0.35">
      <c r="B67" s="16" t="s">
        <v>26</v>
      </c>
      <c r="C67" s="38">
        <f>C62-C66</f>
        <v>-6071.4999999999982</v>
      </c>
      <c r="D67" s="38">
        <f>D62-D66</f>
        <v>-5215.9999999999982</v>
      </c>
      <c r="E67" s="38">
        <f>E62-E66</f>
        <v>-5622.9999999999982</v>
      </c>
      <c r="F67" s="38">
        <f>F62-F66</f>
        <v>-6312.9999999999982</v>
      </c>
      <c r="G67" s="38">
        <f>G62-G66</f>
        <v>-6471.9999999999982</v>
      </c>
      <c r="H67" s="1"/>
      <c r="I67" s="1"/>
      <c r="J67" s="1"/>
      <c r="K67" s="1"/>
    </row>
    <row r="68" spans="2:11" x14ac:dyDescent="0.35">
      <c r="B68" s="16" t="s">
        <v>27</v>
      </c>
      <c r="C68" s="38">
        <f>C61+C67</f>
        <v>-6071.4999999999982</v>
      </c>
      <c r="D68" s="38">
        <f>D61+D67</f>
        <v>-11287.499999999996</v>
      </c>
      <c r="E68" s="38">
        <f>E61+E67</f>
        <v>-16910.499999999993</v>
      </c>
      <c r="F68" s="38">
        <f>F61+F67</f>
        <v>-23223.499999999993</v>
      </c>
      <c r="G68" s="38">
        <f>G61+G67</f>
        <v>-29695.499999999993</v>
      </c>
      <c r="H68" s="1"/>
      <c r="I68" s="1"/>
      <c r="J68" s="1"/>
      <c r="K68" s="1"/>
    </row>
    <row r="69" spans="2:11" x14ac:dyDescent="0.35">
      <c r="B69" s="7"/>
      <c r="C69" s="7"/>
      <c r="D69" s="7"/>
      <c r="E69" s="40"/>
      <c r="F69" s="40"/>
      <c r="G69" s="40"/>
      <c r="H69" s="40"/>
      <c r="I69" s="40"/>
      <c r="J69" s="1"/>
      <c r="K69" s="1"/>
    </row>
    <row r="70" spans="2:11" ht="21.5" x14ac:dyDescent="0.75">
      <c r="B70" s="107"/>
      <c r="C70" s="107"/>
      <c r="D70" s="107"/>
      <c r="E70" s="244" t="s">
        <v>118</v>
      </c>
      <c r="F70" s="244"/>
      <c r="G70" s="1"/>
      <c r="H70" s="1"/>
      <c r="I70" s="1"/>
      <c r="J70" s="1"/>
      <c r="K70" s="1"/>
    </row>
    <row r="71" spans="2:11" x14ac:dyDescent="0.35">
      <c r="B71" s="107"/>
      <c r="C71" s="107"/>
      <c r="D71" s="107"/>
      <c r="E71" s="145"/>
      <c r="F71" s="145"/>
      <c r="G71" s="1"/>
      <c r="H71" s="1"/>
      <c r="I71" s="1"/>
      <c r="J71" s="1"/>
      <c r="K71" s="1"/>
    </row>
    <row r="72" spans="2:11" ht="16" thickBot="1" x14ac:dyDescent="0.4">
      <c r="B72" s="23" t="str">
        <f>Budget!A68</f>
        <v>Capital Item</v>
      </c>
      <c r="C72" s="34" t="str">
        <f>Budget!B68</f>
        <v>Unit Cost</v>
      </c>
      <c r="D72" s="33" t="str">
        <f>Budget!C68</f>
        <v>Years of Life</v>
      </c>
      <c r="E72" s="33" t="str">
        <f>Budget!D68</f>
        <v>Year 1</v>
      </c>
      <c r="F72" s="33" t="str">
        <f>Budget!E68</f>
        <v>Year 2</v>
      </c>
      <c r="G72" s="33" t="str">
        <f>Budget!F68</f>
        <v>Year 3</v>
      </c>
      <c r="H72" s="33" t="str">
        <f>Budget!G68</f>
        <v>Year 4</v>
      </c>
      <c r="I72" s="33" t="str">
        <f>Budget!H68</f>
        <v>Year 5</v>
      </c>
      <c r="J72" s="1"/>
      <c r="K72" s="1"/>
    </row>
    <row r="73" spans="2:11" x14ac:dyDescent="0.35">
      <c r="B73" s="25" t="str">
        <f>Budget!A69</f>
        <v>Nursery Bag</v>
      </c>
      <c r="C73" s="144">
        <f>Budget!B69</f>
        <v>7</v>
      </c>
      <c r="D73" s="140">
        <f>Budget!C69</f>
        <v>4</v>
      </c>
      <c r="E73" s="26">
        <f>Budget!D69</f>
        <v>175</v>
      </c>
      <c r="F73" s="26">
        <f>Budget!E69</f>
        <v>180</v>
      </c>
      <c r="G73" s="26">
        <f>Budget!F69</f>
        <v>185</v>
      </c>
      <c r="H73" s="26">
        <f>Budget!G69</f>
        <v>191</v>
      </c>
      <c r="I73" s="26">
        <f>Budget!H69</f>
        <v>197</v>
      </c>
      <c r="J73" s="1"/>
      <c r="K73" s="1"/>
    </row>
    <row r="74" spans="2:11" x14ac:dyDescent="0.35">
      <c r="B74" s="16" t="str">
        <f>Budget!A70</f>
        <v>Growout Bag</v>
      </c>
      <c r="C74" s="144">
        <f>Budget!B70</f>
        <v>6.2</v>
      </c>
      <c r="D74" s="141">
        <f>Budget!C70</f>
        <v>10</v>
      </c>
      <c r="E74" s="26">
        <f>Budget!D70</f>
        <v>404</v>
      </c>
      <c r="F74" s="26">
        <f>Budget!E70</f>
        <v>416</v>
      </c>
      <c r="G74" s="26">
        <f>Budget!F70</f>
        <v>428</v>
      </c>
      <c r="H74" s="26">
        <f>Budget!G70</f>
        <v>441</v>
      </c>
      <c r="I74" s="26">
        <f>Budget!H70</f>
        <v>454</v>
      </c>
      <c r="J74" s="1"/>
      <c r="K74" s="1"/>
    </row>
    <row r="75" spans="2:11" x14ac:dyDescent="0.35">
      <c r="B75" s="16" t="str">
        <f>Budget!A71</f>
        <v>Wet Suit</v>
      </c>
      <c r="C75" s="144">
        <f>Budget!B71</f>
        <v>250</v>
      </c>
      <c r="D75" s="141">
        <f>Budget!C71</f>
        <v>3</v>
      </c>
      <c r="E75" s="24">
        <f>Budget!D71</f>
        <v>83.333333333333329</v>
      </c>
      <c r="F75" s="24">
        <f>Budget!E71</f>
        <v>86</v>
      </c>
      <c r="G75" s="24">
        <f>Budget!F71</f>
        <v>89</v>
      </c>
      <c r="H75" s="24">
        <f>Budget!G71</f>
        <v>92</v>
      </c>
      <c r="I75" s="24">
        <f>Budget!H71</f>
        <v>95</v>
      </c>
      <c r="J75" s="1"/>
      <c r="K75" s="1"/>
    </row>
    <row r="76" spans="2:11" x14ac:dyDescent="0.35">
      <c r="B76" s="16" t="str">
        <f>Budget!A72</f>
        <v>Boat</v>
      </c>
      <c r="C76" s="144">
        <f>Budget!B72</f>
        <v>18000</v>
      </c>
      <c r="D76" s="141">
        <f>Budget!C72</f>
        <v>7</v>
      </c>
      <c r="E76" s="24">
        <f>Budget!D72</f>
        <v>0</v>
      </c>
      <c r="F76" s="24">
        <f>Budget!E72</f>
        <v>0</v>
      </c>
      <c r="G76" s="24">
        <f>Budget!F72</f>
        <v>0</v>
      </c>
      <c r="H76" s="24">
        <f>Budget!G72</f>
        <v>0</v>
      </c>
      <c r="I76" s="24">
        <f>Budget!H72</f>
        <v>0</v>
      </c>
      <c r="J76" s="1"/>
      <c r="K76" s="1"/>
    </row>
    <row r="77" spans="2:11" x14ac:dyDescent="0.35">
      <c r="B77" s="16" t="str">
        <f>Budget!A73</f>
        <v>Truck</v>
      </c>
      <c r="C77" s="144">
        <f>Budget!B73</f>
        <v>28000</v>
      </c>
      <c r="D77" s="141">
        <f>Budget!C73</f>
        <v>10</v>
      </c>
      <c r="E77" s="24">
        <f>Budget!D73</f>
        <v>0</v>
      </c>
      <c r="F77" s="24">
        <f>Budget!E73</f>
        <v>0</v>
      </c>
      <c r="G77" s="24">
        <f>Budget!F73</f>
        <v>0</v>
      </c>
      <c r="H77" s="24">
        <f>Budget!G73</f>
        <v>0</v>
      </c>
      <c r="I77" s="24">
        <f>Budget!H73</f>
        <v>0</v>
      </c>
      <c r="J77" s="1"/>
      <c r="K77" s="1"/>
    </row>
    <row r="78" spans="2:11" x14ac:dyDescent="0.35">
      <c r="B78" s="16" t="str">
        <f>Budget!A74</f>
        <v>Motor</v>
      </c>
      <c r="C78" s="144">
        <f>Budget!B74</f>
        <v>10000</v>
      </c>
      <c r="D78" s="141">
        <f>Budget!C74</f>
        <v>3</v>
      </c>
      <c r="E78" s="24">
        <f>Budget!D74</f>
        <v>0</v>
      </c>
      <c r="F78" s="24">
        <f>Budget!E74</f>
        <v>0</v>
      </c>
      <c r="G78" s="24">
        <f>Budget!F74</f>
        <v>0</v>
      </c>
      <c r="H78" s="24">
        <f>Budget!G74</f>
        <v>0</v>
      </c>
      <c r="I78" s="24">
        <f>Budget!H74</f>
        <v>0</v>
      </c>
      <c r="J78" s="1"/>
      <c r="K78" s="1"/>
    </row>
    <row r="79" spans="2:11" ht="44" thickBot="1" x14ac:dyDescent="0.4">
      <c r="B79" s="98" t="str">
        <f>Budget!A75</f>
        <v>Winch/Davit/Boom/Pulley/Batteries</v>
      </c>
      <c r="C79" s="129">
        <f>Budget!B75</f>
        <v>1000</v>
      </c>
      <c r="D79" s="142">
        <f>Budget!C75</f>
        <v>5</v>
      </c>
      <c r="E79" s="28">
        <f>Budget!D75</f>
        <v>200</v>
      </c>
      <c r="F79" s="28">
        <f>Budget!E75</f>
        <v>206</v>
      </c>
      <c r="G79" s="28">
        <f>Budget!F75</f>
        <v>212</v>
      </c>
      <c r="H79" s="28">
        <f>Budget!G75</f>
        <v>218</v>
      </c>
      <c r="I79" s="28">
        <f>Budget!H75</f>
        <v>225</v>
      </c>
      <c r="J79" s="1"/>
      <c r="K79" s="1"/>
    </row>
    <row r="80" spans="2:11" x14ac:dyDescent="0.35">
      <c r="B80" s="5" t="str">
        <f>Budget!A76</f>
        <v xml:space="preserve">Total Investment </v>
      </c>
      <c r="C80" s="6">
        <f>Budget!B76</f>
        <v>0</v>
      </c>
      <c r="D80" s="7">
        <f>Budget!C76</f>
        <v>0</v>
      </c>
      <c r="E80" s="15">
        <f>Budget!D76</f>
        <v>862.33333333333337</v>
      </c>
      <c r="F80" s="15">
        <f>Budget!E76</f>
        <v>888</v>
      </c>
      <c r="G80" s="15">
        <f>Budget!F76</f>
        <v>914</v>
      </c>
      <c r="H80" s="15">
        <f>Budget!G76</f>
        <v>942</v>
      </c>
      <c r="I80" s="15">
        <f>Budget!H76</f>
        <v>971</v>
      </c>
      <c r="J80" s="1"/>
      <c r="K80" s="1"/>
    </row>
    <row r="81" spans="2:11" x14ac:dyDescent="0.35">
      <c r="B81" s="7"/>
      <c r="C81" s="7"/>
      <c r="D81" s="7"/>
      <c r="E81" s="40"/>
      <c r="F81" s="40"/>
      <c r="G81" s="40"/>
      <c r="H81" s="40"/>
      <c r="I81" s="40"/>
      <c r="J81" s="1"/>
      <c r="K81" s="1"/>
    </row>
    <row r="82" spans="2:11" x14ac:dyDescent="0.35">
      <c r="B82" s="1"/>
      <c r="C82" s="1"/>
      <c r="D82" s="1"/>
      <c r="E82" s="4"/>
      <c r="F82" s="1"/>
      <c r="G82" s="1"/>
      <c r="H82" s="1"/>
      <c r="I82" s="1"/>
      <c r="J82" s="1"/>
      <c r="K82" s="1"/>
    </row>
    <row r="83" spans="2:11" ht="18.5" x14ac:dyDescent="0.45">
      <c r="B83" s="236" t="s">
        <v>75</v>
      </c>
      <c r="C83" s="236"/>
      <c r="D83" s="236"/>
      <c r="E83" s="236"/>
      <c r="F83" s="236"/>
      <c r="G83" s="236"/>
      <c r="H83" s="143"/>
      <c r="I83" s="143"/>
      <c r="J83" s="1"/>
      <c r="K83" s="1"/>
    </row>
    <row r="84" spans="2:11" ht="16" thickBot="1" x14ac:dyDescent="0.4">
      <c r="B84" s="33" t="s">
        <v>29</v>
      </c>
      <c r="C84" s="33"/>
      <c r="D84" s="34" t="s">
        <v>30</v>
      </c>
      <c r="E84" s="33" t="s">
        <v>31</v>
      </c>
      <c r="F84" s="33" t="s">
        <v>32</v>
      </c>
      <c r="G84" s="1"/>
      <c r="H84" s="1"/>
      <c r="I84" s="1"/>
      <c r="J84" s="1"/>
      <c r="K84" s="1"/>
    </row>
    <row r="85" spans="2:11" x14ac:dyDescent="0.35">
      <c r="B85" s="31" t="s">
        <v>33</v>
      </c>
      <c r="C85" s="31"/>
      <c r="D85" s="6"/>
      <c r="E85" s="7"/>
      <c r="F85" s="7"/>
      <c r="G85" s="1"/>
      <c r="H85" s="1"/>
      <c r="I85" s="1"/>
      <c r="J85" s="1"/>
      <c r="K85" s="1"/>
    </row>
    <row r="86" spans="2:11" x14ac:dyDescent="0.35">
      <c r="B86" s="7" t="s">
        <v>34</v>
      </c>
      <c r="C86" s="7"/>
      <c r="D86" s="50">
        <f>F13*D90</f>
        <v>420000.00000000006</v>
      </c>
      <c r="E86" s="51">
        <f>I7</f>
        <v>0.03</v>
      </c>
      <c r="F86" s="11">
        <f>E86*D86</f>
        <v>12600.000000000002</v>
      </c>
      <c r="G86" s="1"/>
      <c r="H86" s="1"/>
      <c r="I86" s="1"/>
      <c r="J86" s="1"/>
      <c r="K86" s="1"/>
    </row>
    <row r="87" spans="2:11" x14ac:dyDescent="0.35">
      <c r="B87" s="7" t="s">
        <v>35</v>
      </c>
      <c r="C87" s="7"/>
      <c r="D87" s="50">
        <f>F14*D90</f>
        <v>120000.00000000003</v>
      </c>
      <c r="E87" s="51">
        <f>I8</f>
        <v>0.01</v>
      </c>
      <c r="F87" s="11">
        <f>E87*D87</f>
        <v>1200.0000000000002</v>
      </c>
      <c r="G87" s="1"/>
      <c r="H87" s="1"/>
      <c r="I87" s="1"/>
      <c r="J87" s="1"/>
      <c r="K87" s="1"/>
    </row>
    <row r="88" spans="2:11" x14ac:dyDescent="0.35">
      <c r="B88" s="7" t="s">
        <v>36</v>
      </c>
      <c r="C88" s="7"/>
      <c r="D88" s="50">
        <f>F15*D90</f>
        <v>60000.000000000015</v>
      </c>
      <c r="E88" s="52">
        <f>I9</f>
        <v>1.4999999999999999E-2</v>
      </c>
      <c r="F88" s="13">
        <f>E88*D88</f>
        <v>900.00000000000023</v>
      </c>
      <c r="G88" s="1"/>
      <c r="H88" s="1"/>
      <c r="I88" s="1"/>
      <c r="J88" s="1"/>
      <c r="K88" s="1"/>
    </row>
    <row r="89" spans="2:11" x14ac:dyDescent="0.35">
      <c r="B89" s="261"/>
      <c r="C89" s="261"/>
      <c r="D89" s="261"/>
      <c r="E89" s="261"/>
      <c r="F89" s="261"/>
      <c r="G89" s="261"/>
      <c r="H89" s="1"/>
      <c r="I89" s="1"/>
      <c r="J89" s="1"/>
      <c r="K89" s="1"/>
    </row>
    <row r="90" spans="2:11" x14ac:dyDescent="0.35">
      <c r="B90" s="5" t="s">
        <v>79</v>
      </c>
      <c r="C90" s="5"/>
      <c r="D90" s="50">
        <f>D93*F11</f>
        <v>600000.00000000012</v>
      </c>
      <c r="E90" s="51"/>
      <c r="F90" s="53">
        <f>SUM(F86:F88)</f>
        <v>14700.000000000002</v>
      </c>
      <c r="G90" s="1"/>
      <c r="H90" s="1"/>
      <c r="I90" s="1"/>
      <c r="J90" s="1"/>
      <c r="K90" s="1"/>
    </row>
    <row r="91" spans="2:11" x14ac:dyDescent="0.35">
      <c r="B91" s="261"/>
      <c r="C91" s="261"/>
      <c r="D91" s="261"/>
      <c r="E91" s="261"/>
      <c r="F91" s="261"/>
      <c r="G91" s="261"/>
      <c r="H91" s="1"/>
      <c r="I91" s="1"/>
      <c r="J91" s="1"/>
      <c r="K91" s="1"/>
    </row>
    <row r="92" spans="2:11" x14ac:dyDescent="0.35">
      <c r="B92" s="31" t="s">
        <v>14</v>
      </c>
      <c r="C92" s="31"/>
      <c r="D92" s="31"/>
      <c r="E92" s="50"/>
      <c r="F92" s="51"/>
      <c r="G92" s="11"/>
      <c r="H92" s="1"/>
      <c r="I92" s="1"/>
      <c r="J92" s="1"/>
      <c r="K92" s="1"/>
    </row>
    <row r="93" spans="2:11" x14ac:dyDescent="0.35">
      <c r="B93" s="7" t="s">
        <v>82</v>
      </c>
      <c r="C93" s="7"/>
      <c r="D93" s="50">
        <f>F5</f>
        <v>1000000</v>
      </c>
      <c r="E93" s="52">
        <f>I5</f>
        <v>6.0000000000000001E-3</v>
      </c>
      <c r="F93" s="11">
        <f>E93*D93</f>
        <v>6000</v>
      </c>
      <c r="G93" s="1"/>
      <c r="H93" s="1"/>
      <c r="I93" s="1"/>
      <c r="J93" s="1"/>
      <c r="K93" s="1"/>
    </row>
    <row r="94" spans="2:11" x14ac:dyDescent="0.35">
      <c r="B94" s="7" t="s">
        <v>83</v>
      </c>
      <c r="C94" s="7"/>
      <c r="D94" s="50">
        <f>F18+F17</f>
        <v>752</v>
      </c>
      <c r="E94" s="11">
        <f>D41</f>
        <v>2</v>
      </c>
      <c r="F94" s="11">
        <f>E94*D94</f>
        <v>1504</v>
      </c>
      <c r="G94" s="1"/>
      <c r="H94" s="1"/>
      <c r="I94" s="1"/>
      <c r="J94" s="1"/>
      <c r="K94" s="1"/>
    </row>
    <row r="95" spans="2:11" x14ac:dyDescent="0.35">
      <c r="B95" s="7" t="s">
        <v>84</v>
      </c>
      <c r="C95" s="7"/>
      <c r="D95" s="50">
        <f>C42</f>
        <v>205</v>
      </c>
      <c r="E95" s="51">
        <f>D42</f>
        <v>3.5</v>
      </c>
      <c r="F95" s="11">
        <f>ROUND(E95*D95,0)</f>
        <v>718</v>
      </c>
      <c r="G95" s="1"/>
      <c r="H95" s="1"/>
      <c r="I95" s="1"/>
      <c r="J95" s="1"/>
      <c r="K95" s="1"/>
    </row>
    <row r="96" spans="2:11" x14ac:dyDescent="0.35">
      <c r="B96" s="7" t="s">
        <v>85</v>
      </c>
      <c r="C96" s="7"/>
      <c r="D96" s="50">
        <f>C43</f>
        <v>205</v>
      </c>
      <c r="E96" s="51">
        <f>D43</f>
        <v>3.5</v>
      </c>
      <c r="F96" s="11">
        <f>ROUND(E96*D96,0)</f>
        <v>718</v>
      </c>
      <c r="G96" s="1"/>
      <c r="H96" s="1"/>
      <c r="I96" s="1"/>
      <c r="J96" s="1"/>
      <c r="K96" s="1"/>
    </row>
    <row r="97" spans="2:11" x14ac:dyDescent="0.35">
      <c r="B97" s="7" t="s">
        <v>109</v>
      </c>
      <c r="C97" s="7"/>
      <c r="D97" s="50"/>
      <c r="E97" s="4"/>
      <c r="F97" s="11">
        <f>D45</f>
        <v>2800</v>
      </c>
      <c r="G97" s="1"/>
      <c r="H97" s="1"/>
      <c r="I97" s="1"/>
      <c r="J97" s="1"/>
      <c r="K97" s="1"/>
    </row>
    <row r="98" spans="2:11" x14ac:dyDescent="0.35">
      <c r="B98" s="7" t="s">
        <v>86</v>
      </c>
      <c r="C98" s="7"/>
      <c r="D98" s="50">
        <f>C46</f>
        <v>662</v>
      </c>
      <c r="E98" s="51">
        <f>D46</f>
        <v>1.25</v>
      </c>
      <c r="F98" s="11">
        <f>ROUND(E98*D98,0)</f>
        <v>828</v>
      </c>
      <c r="G98" s="1"/>
      <c r="H98" s="1"/>
      <c r="I98" s="1"/>
      <c r="J98" s="1"/>
      <c r="K98" s="1"/>
    </row>
    <row r="99" spans="2:11" x14ac:dyDescent="0.35">
      <c r="B99" s="7" t="s">
        <v>87</v>
      </c>
      <c r="C99" s="7"/>
      <c r="D99" s="50">
        <f>C44</f>
        <v>1</v>
      </c>
      <c r="E99" s="11">
        <f>D44</f>
        <v>100</v>
      </c>
      <c r="F99" s="11">
        <f>D99*E99</f>
        <v>100</v>
      </c>
      <c r="G99" s="1"/>
      <c r="H99" s="1"/>
      <c r="I99" s="1"/>
      <c r="J99" s="1"/>
      <c r="K99" s="1"/>
    </row>
    <row r="100" spans="2:11" x14ac:dyDescent="0.35">
      <c r="B100" s="7" t="s">
        <v>105</v>
      </c>
      <c r="C100" s="7"/>
      <c r="D100" s="50"/>
      <c r="E100" s="11"/>
      <c r="F100" s="11">
        <f>D47</f>
        <v>4400</v>
      </c>
      <c r="G100" s="1"/>
      <c r="H100" s="1"/>
      <c r="I100" s="1"/>
      <c r="J100" s="1"/>
      <c r="K100" s="1"/>
    </row>
    <row r="101" spans="2:11" x14ac:dyDescent="0.35">
      <c r="B101" s="7" t="s">
        <v>80</v>
      </c>
      <c r="C101" s="7"/>
      <c r="D101" s="50"/>
      <c r="E101" s="51"/>
      <c r="F101" s="13">
        <f>D48</f>
        <v>250</v>
      </c>
      <c r="G101" s="1"/>
      <c r="H101" s="1"/>
      <c r="I101" s="1"/>
      <c r="J101" s="1"/>
      <c r="K101" s="1"/>
    </row>
    <row r="102" spans="2:11" x14ac:dyDescent="0.35">
      <c r="B102" s="5" t="s">
        <v>37</v>
      </c>
      <c r="C102" s="5"/>
      <c r="D102" s="5"/>
      <c r="E102" s="50"/>
      <c r="F102" s="11">
        <f>SUM(F93:F101)</f>
        <v>17318</v>
      </c>
      <c r="G102" s="53"/>
      <c r="H102" s="1"/>
      <c r="I102" s="1"/>
      <c r="J102" s="1"/>
      <c r="K102" s="1"/>
    </row>
    <row r="103" spans="2:11" x14ac:dyDescent="0.35">
      <c r="B103" s="261"/>
      <c r="C103" s="261"/>
      <c r="D103" s="261"/>
      <c r="E103" s="261"/>
      <c r="F103" s="261"/>
      <c r="G103" s="261"/>
      <c r="H103" s="1"/>
      <c r="I103" s="1"/>
      <c r="J103" s="1"/>
      <c r="K103" s="1"/>
    </row>
    <row r="104" spans="2:11" x14ac:dyDescent="0.35">
      <c r="B104" s="31" t="s">
        <v>38</v>
      </c>
      <c r="C104" s="31"/>
      <c r="D104" s="31"/>
      <c r="E104" s="50"/>
      <c r="F104" s="51"/>
      <c r="G104" s="11"/>
      <c r="H104" s="1"/>
      <c r="I104" s="1"/>
      <c r="J104" s="1"/>
      <c r="K104" s="1"/>
    </row>
    <row r="105" spans="2:11" x14ac:dyDescent="0.35">
      <c r="B105" s="123" t="s">
        <v>19</v>
      </c>
      <c r="C105" s="7"/>
      <c r="D105" s="7"/>
      <c r="E105" s="6"/>
      <c r="F105" s="7"/>
      <c r="G105" s="7"/>
      <c r="H105" s="1"/>
      <c r="I105" s="1"/>
      <c r="J105" s="1"/>
      <c r="K105" s="1"/>
    </row>
    <row r="106" spans="2:11" x14ac:dyDescent="0.35">
      <c r="B106" s="7" t="s">
        <v>114</v>
      </c>
      <c r="C106" s="7"/>
      <c r="D106" s="50">
        <f t="shared" ref="D106:E110" si="2">C50</f>
        <v>1</v>
      </c>
      <c r="E106" s="11">
        <f t="shared" si="2"/>
        <v>750</v>
      </c>
      <c r="F106" s="11">
        <f>E106*D106</f>
        <v>750</v>
      </c>
      <c r="G106" s="1"/>
      <c r="H106" s="1"/>
      <c r="I106" s="1"/>
      <c r="J106" s="1"/>
      <c r="K106" s="1"/>
    </row>
    <row r="107" spans="2:11" x14ac:dyDescent="0.35">
      <c r="B107" s="7" t="s">
        <v>115</v>
      </c>
      <c r="C107" s="7"/>
      <c r="D107" s="50">
        <f t="shared" si="2"/>
        <v>1</v>
      </c>
      <c r="E107" s="11">
        <f t="shared" si="2"/>
        <v>250</v>
      </c>
      <c r="F107" s="11">
        <f>D107*E107</f>
        <v>250</v>
      </c>
      <c r="G107" s="1"/>
      <c r="H107" s="1"/>
      <c r="I107" s="1"/>
      <c r="J107" s="1"/>
      <c r="K107" s="1"/>
    </row>
    <row r="108" spans="2:11" x14ac:dyDescent="0.35">
      <c r="B108" s="7" t="s">
        <v>81</v>
      </c>
      <c r="C108" s="7"/>
      <c r="D108" s="50">
        <f t="shared" si="2"/>
        <v>1</v>
      </c>
      <c r="E108" s="11">
        <f t="shared" si="2"/>
        <v>500</v>
      </c>
      <c r="F108" s="11">
        <f>E108*D108</f>
        <v>500</v>
      </c>
      <c r="G108" s="1"/>
      <c r="H108" s="1"/>
      <c r="I108" s="1"/>
      <c r="J108" s="1"/>
      <c r="K108" s="1"/>
    </row>
    <row r="109" spans="2:11" x14ac:dyDescent="0.35">
      <c r="B109" s="7" t="s">
        <v>112</v>
      </c>
      <c r="C109" s="7"/>
      <c r="D109" s="50">
        <f t="shared" si="2"/>
        <v>1</v>
      </c>
      <c r="E109" s="11">
        <f t="shared" si="2"/>
        <v>27</v>
      </c>
      <c r="F109" s="11">
        <f>D109*E109</f>
        <v>27</v>
      </c>
      <c r="G109" s="1"/>
      <c r="H109" s="1"/>
      <c r="I109" s="1"/>
      <c r="J109" s="1"/>
      <c r="K109" s="1"/>
    </row>
    <row r="110" spans="2:11" x14ac:dyDescent="0.35">
      <c r="B110" s="7" t="s">
        <v>113</v>
      </c>
      <c r="C110" s="7"/>
      <c r="D110" s="50">
        <f t="shared" si="2"/>
        <v>1</v>
      </c>
      <c r="E110" s="11">
        <f t="shared" si="2"/>
        <v>100</v>
      </c>
      <c r="F110" s="11">
        <f>E110*D110</f>
        <v>100</v>
      </c>
      <c r="G110" s="1"/>
      <c r="H110" s="1"/>
      <c r="I110" s="1"/>
      <c r="J110" s="1"/>
      <c r="K110" s="1"/>
    </row>
    <row r="111" spans="2:11" x14ac:dyDescent="0.35">
      <c r="B111" s="261"/>
      <c r="C111" s="261"/>
      <c r="D111" s="261"/>
      <c r="E111" s="261"/>
      <c r="F111" s="261"/>
      <c r="G111" s="261"/>
      <c r="H111" s="1"/>
      <c r="I111" s="1"/>
      <c r="J111" s="1"/>
      <c r="K111" s="1"/>
    </row>
    <row r="112" spans="2:11" x14ac:dyDescent="0.35">
      <c r="B112" s="7" t="s">
        <v>39</v>
      </c>
      <c r="C112" s="7"/>
      <c r="D112" s="7"/>
      <c r="E112" s="6"/>
      <c r="F112" s="11">
        <f>ROUND(AVERAGE(G29:K29),0)</f>
        <v>918</v>
      </c>
      <c r="G112" s="1"/>
      <c r="H112" s="1"/>
      <c r="I112" s="1"/>
      <c r="J112" s="1"/>
      <c r="K112" s="1"/>
    </row>
    <row r="113" spans="2:11" x14ac:dyDescent="0.35">
      <c r="B113" s="7" t="s">
        <v>40</v>
      </c>
      <c r="C113" s="7"/>
      <c r="D113" s="7"/>
      <c r="E113" s="6"/>
      <c r="F113" s="13">
        <f>AVERAGE(E80:I80)</f>
        <v>915.46666666666681</v>
      </c>
      <c r="G113" s="1"/>
      <c r="H113" s="1"/>
      <c r="I113" s="1"/>
      <c r="J113" s="1"/>
      <c r="K113" s="1"/>
    </row>
    <row r="114" spans="2:11" x14ac:dyDescent="0.35">
      <c r="B114" s="5" t="s">
        <v>41</v>
      </c>
      <c r="C114" s="5"/>
      <c r="D114" s="5"/>
      <c r="E114" s="6"/>
      <c r="F114" s="53">
        <f>SUM(F106:F113)</f>
        <v>3460.4666666666667</v>
      </c>
      <c r="G114" s="1"/>
      <c r="H114" s="1"/>
      <c r="I114" s="1"/>
      <c r="J114" s="1"/>
      <c r="K114" s="1"/>
    </row>
    <row r="115" spans="2:11" x14ac:dyDescent="0.35">
      <c r="B115" s="5"/>
      <c r="C115" s="5"/>
      <c r="D115" s="5"/>
      <c r="E115" s="6"/>
      <c r="F115" s="53"/>
      <c r="G115" s="1"/>
      <c r="H115" s="1"/>
      <c r="I115" s="1"/>
      <c r="J115" s="1"/>
      <c r="K115" s="1"/>
    </row>
    <row r="116" spans="2:11" x14ac:dyDescent="0.35">
      <c r="B116" s="31" t="s">
        <v>90</v>
      </c>
      <c r="C116" s="31"/>
      <c r="D116" s="31"/>
      <c r="E116" s="6"/>
      <c r="F116" s="53">
        <f>F114+F102</f>
        <v>20778.466666666667</v>
      </c>
      <c r="G116" s="1"/>
      <c r="H116" s="1"/>
      <c r="I116" s="1"/>
      <c r="J116" s="1"/>
      <c r="K116" s="1"/>
    </row>
    <row r="117" spans="2:11" x14ac:dyDescent="0.35">
      <c r="B117" s="31"/>
      <c r="C117" s="31"/>
      <c r="D117" s="31"/>
      <c r="E117" s="6"/>
      <c r="F117" s="11"/>
      <c r="G117" s="1"/>
      <c r="H117" s="1"/>
      <c r="I117" s="1"/>
      <c r="J117" s="1"/>
      <c r="K117" s="1"/>
    </row>
    <row r="118" spans="2:11" x14ac:dyDescent="0.35">
      <c r="B118" s="31" t="s">
        <v>122</v>
      </c>
      <c r="C118" s="31"/>
      <c r="D118" s="31"/>
      <c r="E118" s="6"/>
      <c r="F118" s="11"/>
      <c r="G118" s="1"/>
      <c r="H118" s="1"/>
      <c r="I118" s="1"/>
      <c r="J118" s="1"/>
      <c r="K118" s="1"/>
    </row>
    <row r="119" spans="2:11" x14ac:dyDescent="0.35">
      <c r="B119" s="123" t="s">
        <v>123</v>
      </c>
      <c r="C119" s="31"/>
      <c r="D119" s="31"/>
      <c r="E119" s="6"/>
      <c r="F119" s="11"/>
      <c r="G119" s="1"/>
      <c r="H119" s="1"/>
      <c r="I119" s="1"/>
      <c r="J119" s="1"/>
      <c r="K119" s="1"/>
    </row>
    <row r="120" spans="2:11" x14ac:dyDescent="0.35">
      <c r="B120" s="5" t="s">
        <v>119</v>
      </c>
      <c r="C120" s="31"/>
      <c r="D120" s="31"/>
      <c r="E120" s="6"/>
      <c r="F120" s="11">
        <f>F90-(F116-F113)</f>
        <v>-5162.9999999999982</v>
      </c>
      <c r="G120" s="1"/>
      <c r="H120" s="1"/>
      <c r="I120" s="1"/>
      <c r="J120" s="1"/>
      <c r="K120" s="1"/>
    </row>
    <row r="121" spans="2:11" x14ac:dyDescent="0.35">
      <c r="B121" s="5" t="s">
        <v>120</v>
      </c>
      <c r="C121" s="31"/>
      <c r="D121" s="31"/>
      <c r="E121" s="6"/>
      <c r="F121" s="157">
        <f>(F116-F113)/D90</f>
        <v>3.3104999999999996E-2</v>
      </c>
      <c r="G121" s="1"/>
      <c r="H121" s="1"/>
      <c r="I121" s="1"/>
      <c r="J121" s="1"/>
      <c r="K121" s="1"/>
    </row>
    <row r="122" spans="2:11" x14ac:dyDescent="0.35">
      <c r="B122" s="5" t="s">
        <v>121</v>
      </c>
      <c r="C122" s="31"/>
      <c r="D122" s="31"/>
      <c r="E122" s="6"/>
      <c r="F122" s="55">
        <f>((F116-F113)/(E86*(D86/D90)+E87*(D87/D90)+E88*(D88/D90)))/D93</f>
        <v>0.81073469387755104</v>
      </c>
      <c r="G122" s="1"/>
      <c r="H122" s="1"/>
      <c r="I122" s="1"/>
      <c r="J122" s="1"/>
      <c r="K122" s="1"/>
    </row>
    <row r="123" spans="2:11" x14ac:dyDescent="0.35">
      <c r="B123" s="5"/>
      <c r="C123" s="31"/>
      <c r="D123" s="31"/>
      <c r="E123" s="6"/>
      <c r="F123" s="55"/>
      <c r="G123" s="1"/>
      <c r="H123" s="1"/>
      <c r="I123" s="1"/>
      <c r="J123" s="1"/>
      <c r="K123" s="1"/>
    </row>
    <row r="124" spans="2:11" x14ac:dyDescent="0.35">
      <c r="B124" s="158" t="s">
        <v>90</v>
      </c>
      <c r="C124" s="156"/>
      <c r="D124" s="156"/>
      <c r="E124" s="156"/>
      <c r="F124" s="156"/>
      <c r="G124" s="156"/>
      <c r="H124" s="1"/>
      <c r="I124" s="1"/>
      <c r="J124" s="1"/>
      <c r="K124" s="1"/>
    </row>
    <row r="125" spans="2:11" x14ac:dyDescent="0.35">
      <c r="B125" s="5" t="s">
        <v>42</v>
      </c>
      <c r="C125" s="5"/>
      <c r="D125" s="5"/>
      <c r="E125" s="6"/>
      <c r="F125" s="11">
        <f>F90-F116</f>
        <v>-6078.4666666666653</v>
      </c>
      <c r="G125" s="1"/>
      <c r="H125" s="1"/>
      <c r="I125" s="1"/>
      <c r="J125" s="1"/>
      <c r="K125" s="1"/>
    </row>
    <row r="126" spans="2:11" x14ac:dyDescent="0.35">
      <c r="B126" s="5" t="s">
        <v>43</v>
      </c>
      <c r="C126" s="5"/>
      <c r="D126" s="5"/>
      <c r="E126" s="6"/>
      <c r="F126" s="54">
        <f>F116/D90</f>
        <v>3.4630777777777774E-2</v>
      </c>
      <c r="G126" s="1"/>
      <c r="H126" s="1"/>
      <c r="I126" s="1"/>
      <c r="J126" s="1"/>
      <c r="K126" s="1"/>
    </row>
    <row r="127" spans="2:11" x14ac:dyDescent="0.35">
      <c r="B127" s="5" t="s">
        <v>44</v>
      </c>
      <c r="C127" s="5"/>
      <c r="D127" s="5"/>
      <c r="E127" s="6"/>
      <c r="F127" s="55">
        <f>(F116/(E86*(D86/D90)+E87*(D87/D90)+E88*(D88/D90)))/D93</f>
        <v>0.84810068027210883</v>
      </c>
      <c r="G127" s="1"/>
      <c r="H127" s="1"/>
      <c r="I127" s="1"/>
      <c r="J127" s="1"/>
      <c r="K127" s="1"/>
    </row>
  </sheetData>
  <mergeCells count="23">
    <mergeCell ref="D17:E17"/>
    <mergeCell ref="D18:E18"/>
    <mergeCell ref="D12:F12"/>
    <mergeCell ref="D13:E13"/>
    <mergeCell ref="D14:E14"/>
    <mergeCell ref="D15:E15"/>
    <mergeCell ref="D16:E16"/>
    <mergeCell ref="B111:G111"/>
    <mergeCell ref="B20:K20"/>
    <mergeCell ref="B37:I37"/>
    <mergeCell ref="B59:I59"/>
    <mergeCell ref="E70:F70"/>
    <mergeCell ref="B83:G83"/>
    <mergeCell ref="B89:G89"/>
    <mergeCell ref="B91:G91"/>
    <mergeCell ref="B103:G103"/>
    <mergeCell ref="D11:E11"/>
    <mergeCell ref="D10:E10"/>
    <mergeCell ref="D5:E5"/>
    <mergeCell ref="D6:E6"/>
    <mergeCell ref="D7:E7"/>
    <mergeCell ref="D8:E8"/>
    <mergeCell ref="D9:E9"/>
  </mergeCells>
  <dataValidations count="4">
    <dataValidation type="decimal" operator="greaterThanOrEqual" allowBlank="1" showInputMessage="1" showErrorMessage="1" sqref="F15">
      <formula1>0</formula1>
    </dataValidation>
    <dataValidation type="whole" allowBlank="1" showInputMessage="1" showErrorMessage="1" sqref="E25:E28">
      <formula1>0</formula1>
      <formula2>1</formula2>
    </dataValidation>
    <dataValidation type="whole" operator="greaterThan" allowBlank="1" showInputMessage="1" showErrorMessage="1" sqref="C22:C28 D24:D28 E24 F53:I54 E50:E54 F5 E40:E41 F47:I47 E43:E48 D75:D79 C73:C79">
      <formula1>0</formula1>
    </dataValidation>
    <dataValidation type="decimal" operator="greaterThan" allowBlank="1" showInputMessage="1" showErrorMessage="1" sqref="I7:I9 I5 F6:F7 F9:F11 F13:F14">
      <formula1>0</formula1>
    </dataValidation>
  </dataValidations>
  <pageMargins left="0.75" right="0.75" top="1" bottom="1" header="0.5" footer="0.5"/>
  <pageSetup orientation="portrait" horizontalDpi="4294967292" verticalDpi="4294967292"/>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6" sqref="G16"/>
    </sheetView>
  </sheetViews>
  <sheetFormatPr defaultColWidth="11" defaultRowHeight="15.5" x14ac:dyDescent="0.3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25" zoomScaleNormal="125" workbookViewId="0"/>
  </sheetViews>
  <sheetFormatPr defaultColWidth="11" defaultRowHeight="15.5" x14ac:dyDescent="0.35"/>
  <sheetData/>
  <sheetProtection algorithmName="SHA-512" hashValue="JCk8OGJJN/MP5Kkl2iJLMEQvibMzN8dA+0NRdhAlqCB6lMk7/J79Dd4Sd3boH6Ktd/q6F7v3UwD4COgIyb1VPA==" saltValue="46nRtrvyr8/e81wDme6wjQ==" spinCount="100000" sheet="1" objects="1" scenarios="1"/>
  <phoneticPr fontId="2" type="noConversion"/>
  <pageMargins left="0.75" right="0.75" top="1" bottom="1" header="0.5" footer="0.5"/>
  <pageSetup orientation="landscape" horizontalDpi="4294967292" verticalDpi="4294967292"/>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169"/>
  <sheetViews>
    <sheetView zoomScale="80" zoomScaleNormal="80" workbookViewId="0">
      <selection activeCell="E5" sqref="E5"/>
    </sheetView>
  </sheetViews>
  <sheetFormatPr defaultColWidth="10.83203125" defaultRowHeight="14.5" x14ac:dyDescent="0.35"/>
  <cols>
    <col min="1" max="1" width="22.33203125" style="1" customWidth="1"/>
    <col min="2" max="2" width="11.83203125" style="1" bestFit="1" customWidth="1"/>
    <col min="3" max="3" width="17.83203125" style="1" bestFit="1" customWidth="1"/>
    <col min="4" max="4" width="17" style="4" customWidth="1"/>
    <col min="5" max="5" width="19.25" style="1" customWidth="1"/>
    <col min="6" max="6" width="17.58203125" style="1" bestFit="1" customWidth="1"/>
    <col min="7" max="7" width="12.58203125" style="1" customWidth="1"/>
    <col min="8" max="8" width="12.58203125" style="1" bestFit="1" customWidth="1"/>
    <col min="9" max="10" width="8.33203125" style="1" bestFit="1" customWidth="1"/>
    <col min="11" max="11" width="8.58203125" style="1" customWidth="1"/>
    <col min="12" max="12" width="16.5" style="1" bestFit="1" customWidth="1"/>
    <col min="13" max="13" width="12.33203125" style="1" customWidth="1"/>
    <col min="14" max="21" width="10.83203125" style="1"/>
    <col min="22" max="22" width="11.58203125" style="1" bestFit="1" customWidth="1"/>
    <col min="23" max="16384" width="10.83203125" style="1"/>
  </cols>
  <sheetData>
    <row r="1" spans="1:12" ht="23.5" x14ac:dyDescent="0.55000000000000004">
      <c r="A1" s="246" t="s">
        <v>74</v>
      </c>
      <c r="B1" s="246"/>
      <c r="C1" s="246"/>
      <c r="D1" s="246"/>
      <c r="E1" s="246"/>
      <c r="F1" s="246"/>
      <c r="G1" s="246"/>
      <c r="H1" s="246"/>
      <c r="I1" s="246"/>
      <c r="J1" s="246"/>
      <c r="K1" s="135"/>
      <c r="L1" s="135"/>
    </row>
    <row r="2" spans="1:12" ht="15" customHeight="1" x14ac:dyDescent="0.35">
      <c r="A2" s="249" t="s">
        <v>150</v>
      </c>
      <c r="B2" s="249"/>
      <c r="C2" s="249"/>
      <c r="D2" s="249"/>
      <c r="E2" s="249"/>
      <c r="F2" s="249"/>
      <c r="G2" s="249"/>
      <c r="H2" s="249"/>
      <c r="I2" s="249"/>
      <c r="J2" s="249"/>
    </row>
    <row r="3" spans="1:12" ht="15" thickBot="1" x14ac:dyDescent="0.4">
      <c r="D3" s="66"/>
      <c r="E3" s="37"/>
      <c r="F3" s="7"/>
    </row>
    <row r="4" spans="1:12" x14ac:dyDescent="0.35">
      <c r="C4" s="18" t="s">
        <v>51</v>
      </c>
      <c r="D4" s="117"/>
      <c r="E4" s="19" t="s">
        <v>50</v>
      </c>
      <c r="G4" s="18" t="s">
        <v>53</v>
      </c>
      <c r="H4" s="19" t="s">
        <v>54</v>
      </c>
    </row>
    <row r="5" spans="1:12" x14ac:dyDescent="0.35">
      <c r="C5" s="239" t="s">
        <v>73</v>
      </c>
      <c r="D5" s="240"/>
      <c r="E5" s="56">
        <v>1000000</v>
      </c>
      <c r="G5" s="22" t="s">
        <v>46</v>
      </c>
      <c r="H5" s="62">
        <v>6.0000000000000001E-3</v>
      </c>
    </row>
    <row r="6" spans="1:12" x14ac:dyDescent="0.35">
      <c r="C6" s="247" t="s">
        <v>148</v>
      </c>
      <c r="D6" s="248"/>
      <c r="E6" s="57">
        <v>10000</v>
      </c>
      <c r="G6" s="43" t="s">
        <v>47</v>
      </c>
      <c r="H6" s="21"/>
    </row>
    <row r="7" spans="1:12" x14ac:dyDescent="0.35">
      <c r="C7" s="239" t="s">
        <v>149</v>
      </c>
      <c r="D7" s="240"/>
      <c r="E7" s="58">
        <v>1150</v>
      </c>
      <c r="G7" s="20" t="s">
        <v>67</v>
      </c>
      <c r="H7" s="45">
        <v>7.0000000000000007E-2</v>
      </c>
    </row>
    <row r="8" spans="1:12" x14ac:dyDescent="0.35">
      <c r="C8" s="239" t="s">
        <v>138</v>
      </c>
      <c r="D8" s="240"/>
      <c r="E8" s="59"/>
      <c r="G8" s="20" t="s">
        <v>62</v>
      </c>
      <c r="H8" s="45">
        <v>0.05</v>
      </c>
    </row>
    <row r="9" spans="1:12" ht="15" thickBot="1" x14ac:dyDescent="0.4">
      <c r="C9" s="237" t="s">
        <v>57</v>
      </c>
      <c r="D9" s="238"/>
      <c r="E9" s="60">
        <v>0.75</v>
      </c>
      <c r="G9" s="44" t="s">
        <v>63</v>
      </c>
      <c r="H9" s="46">
        <v>3.5000000000000003E-2</v>
      </c>
    </row>
    <row r="10" spans="1:12" x14ac:dyDescent="0.35">
      <c r="C10" s="237" t="s">
        <v>159</v>
      </c>
      <c r="D10" s="238"/>
      <c r="E10" s="60">
        <v>0.8</v>
      </c>
      <c r="G10" s="17"/>
    </row>
    <row r="11" spans="1:12" x14ac:dyDescent="0.35">
      <c r="C11" s="237" t="s">
        <v>59</v>
      </c>
      <c r="D11" s="238"/>
      <c r="E11" s="132">
        <f>E9*E10</f>
        <v>0.60000000000000009</v>
      </c>
      <c r="G11" s="138"/>
      <c r="H11" s="139"/>
    </row>
    <row r="12" spans="1:12" x14ac:dyDescent="0.35">
      <c r="C12" s="239" t="s">
        <v>139</v>
      </c>
      <c r="D12" s="240"/>
      <c r="E12" s="241"/>
    </row>
    <row r="13" spans="1:12" x14ac:dyDescent="0.35">
      <c r="C13" s="237" t="s">
        <v>61</v>
      </c>
      <c r="D13" s="238"/>
      <c r="E13" s="60">
        <v>0.7</v>
      </c>
    </row>
    <row r="14" spans="1:12" x14ac:dyDescent="0.35">
      <c r="C14" s="237" t="s">
        <v>62</v>
      </c>
      <c r="D14" s="238"/>
      <c r="E14" s="60">
        <v>0.2</v>
      </c>
    </row>
    <row r="15" spans="1:12" x14ac:dyDescent="0.35">
      <c r="C15" s="237" t="s">
        <v>140</v>
      </c>
      <c r="D15" s="238"/>
      <c r="E15" s="105">
        <v>0.1</v>
      </c>
    </row>
    <row r="16" spans="1:12" x14ac:dyDescent="0.35">
      <c r="A16" s="7"/>
      <c r="B16" s="7"/>
      <c r="C16" s="242" t="s">
        <v>103</v>
      </c>
      <c r="D16" s="243"/>
      <c r="E16" s="103"/>
    </row>
    <row r="17" spans="1:12" x14ac:dyDescent="0.35">
      <c r="C17" s="250" t="s">
        <v>57</v>
      </c>
      <c r="D17" s="251"/>
      <c r="E17" s="106">
        <f>ROUND(E5/E6,0)</f>
        <v>100</v>
      </c>
    </row>
    <row r="18" spans="1:12" ht="16" customHeight="1" thickBot="1" x14ac:dyDescent="0.4">
      <c r="A18" s="2"/>
      <c r="B18" s="2"/>
      <c r="C18" s="252" t="s">
        <v>102</v>
      </c>
      <c r="D18" s="253"/>
      <c r="E18" s="104">
        <f>ROUND(E5*E9/E7,0)</f>
        <v>652</v>
      </c>
    </row>
    <row r="19" spans="1:12" x14ac:dyDescent="0.35">
      <c r="A19" s="2"/>
      <c r="B19" s="2"/>
      <c r="C19" s="2"/>
      <c r="D19" s="14"/>
      <c r="E19" s="2"/>
    </row>
    <row r="20" spans="1:12" ht="18.5" x14ac:dyDescent="0.45">
      <c r="A20" s="236" t="s">
        <v>12</v>
      </c>
      <c r="B20" s="236"/>
      <c r="C20" s="236"/>
      <c r="D20" s="236"/>
      <c r="E20" s="236"/>
      <c r="F20" s="236"/>
      <c r="G20" s="236"/>
      <c r="H20" s="236"/>
      <c r="I20" s="236"/>
      <c r="J20" s="236"/>
      <c r="K20" s="136"/>
      <c r="L20" s="136"/>
    </row>
    <row r="21" spans="1:12" s="3" customFormat="1" ht="29.5" thickBot="1" x14ac:dyDescent="0.4">
      <c r="A21" s="23" t="s">
        <v>0</v>
      </c>
      <c r="B21" s="34" t="s">
        <v>1</v>
      </c>
      <c r="C21" s="33" t="s">
        <v>2</v>
      </c>
      <c r="D21" s="33" t="s">
        <v>72</v>
      </c>
      <c r="E21" s="202" t="s">
        <v>157</v>
      </c>
      <c r="F21" s="33" t="s">
        <v>3</v>
      </c>
      <c r="G21" s="33" t="s">
        <v>4</v>
      </c>
      <c r="H21" s="33" t="s">
        <v>5</v>
      </c>
      <c r="I21" s="33" t="s">
        <v>6</v>
      </c>
      <c r="J21" s="33" t="s">
        <v>7</v>
      </c>
    </row>
    <row r="22" spans="1:12" x14ac:dyDescent="0.35">
      <c r="A22" s="25" t="s">
        <v>8</v>
      </c>
      <c r="B22" s="68">
        <v>7</v>
      </c>
      <c r="C22" s="140">
        <v>4</v>
      </c>
      <c r="D22" s="146">
        <f>ROUND(0.25*(E5/E6),0)</f>
        <v>25</v>
      </c>
      <c r="E22" s="149">
        <f>ROUND(B22/C22*(100),0)</f>
        <v>175</v>
      </c>
      <c r="F22" s="149">
        <f>B22*D22</f>
        <v>175</v>
      </c>
      <c r="G22" s="149">
        <f>ROUND(B22*D22*(1.03),0)</f>
        <v>180</v>
      </c>
      <c r="H22" s="149">
        <f>ROUND(B22*D22*(1.03^2),0)</f>
        <v>186</v>
      </c>
      <c r="I22" s="149">
        <f>ROUND(B22*D22*1.03^3,0)</f>
        <v>191</v>
      </c>
      <c r="J22" s="149">
        <f>ROUND(B22*D22*1.03^4,0)</f>
        <v>197</v>
      </c>
    </row>
    <row r="23" spans="1:12" x14ac:dyDescent="0.35">
      <c r="A23" s="16" t="s">
        <v>9</v>
      </c>
      <c r="B23" s="67">
        <v>6.2</v>
      </c>
      <c r="C23" s="141">
        <v>10</v>
      </c>
      <c r="D23" s="147">
        <f>ROUND(0.1*(E5*E9/E7),0)</f>
        <v>65</v>
      </c>
      <c r="E23" s="150">
        <f>ROUND(B23/C23*652,0)</f>
        <v>404</v>
      </c>
      <c r="F23" s="150">
        <f>ROUND(B23*D23,0)</f>
        <v>403</v>
      </c>
      <c r="G23" s="150">
        <f>ROUND(B23*D23*1.03,0)</f>
        <v>415</v>
      </c>
      <c r="H23" s="150">
        <f>ROUND(B23*D23*1.03^2,0)</f>
        <v>428</v>
      </c>
      <c r="I23" s="150">
        <f>ROUND(B23*D23*1.03^3,0)</f>
        <v>440</v>
      </c>
      <c r="J23" s="150">
        <f>ROUND(B23*D23*1.03^4,0)</f>
        <v>454</v>
      </c>
    </row>
    <row r="24" spans="1:12" x14ac:dyDescent="0.35">
      <c r="A24" s="16" t="s">
        <v>10</v>
      </c>
      <c r="B24" s="67">
        <v>250</v>
      </c>
      <c r="C24" s="182">
        <v>3</v>
      </c>
      <c r="D24" s="47">
        <v>1</v>
      </c>
      <c r="E24" s="151"/>
      <c r="F24" s="150">
        <f>IF(D24&gt;0,B24*D24,0)</f>
        <v>250</v>
      </c>
      <c r="G24" s="150">
        <f>IF(C24&gt;1,0,ROUND(B24*D24*(1+0.03),0))</f>
        <v>0</v>
      </c>
      <c r="H24" s="150">
        <f>IF(OR(C24=1,C24=2),ROUND(B24*D24*(1.03^2),0),0)</f>
        <v>0</v>
      </c>
      <c r="I24" s="150">
        <f>IF(OR(C24=1,C24=3),ROUND(B24*D24*(1.03)^3,0),0)</f>
        <v>273</v>
      </c>
      <c r="J24" s="150">
        <f>IF(OR(C24=1,C24=2,C24=4),ROUND(B24*D24*1.03^4,0),0)</f>
        <v>0</v>
      </c>
    </row>
    <row r="25" spans="1:12" ht="15" customHeight="1" x14ac:dyDescent="0.35">
      <c r="A25" s="16" t="s">
        <v>11</v>
      </c>
      <c r="B25" s="67">
        <v>18000</v>
      </c>
      <c r="C25" s="141">
        <v>7</v>
      </c>
      <c r="D25" s="137">
        <f>IF('Questionnaire '!C6='Questionnaire '!C8,1,0)</f>
        <v>0</v>
      </c>
      <c r="E25" s="152"/>
      <c r="F25" s="150">
        <f>IF('Questionnaire '!C10='Questionnaire '!C6,Budget!B25,0)</f>
        <v>0</v>
      </c>
      <c r="G25" s="150">
        <f>IF('Questionnaire '!C10='Questionnaire '!C6+1,ROUND(Budget!B25+Budget!B25*0.03,0),0)</f>
        <v>0</v>
      </c>
      <c r="H25" s="150">
        <f>IF('Questionnaire '!C10='Questionnaire '!C6+2,ROUND(Budget!B25*(1.03^2),0),0)</f>
        <v>0</v>
      </c>
      <c r="I25" s="150">
        <f>IF('Questionnaire '!C10='Questionnaire '!C6+3,ROUND(Budget!B25*(1.03^3),0),0)</f>
        <v>0</v>
      </c>
      <c r="J25" s="150">
        <f>IF('Questionnaire '!C10='Questionnaire '!C6+4,ROUND(Budget!B25*(1.03^4),0),0)</f>
        <v>0</v>
      </c>
    </row>
    <row r="26" spans="1:12" ht="15" customHeight="1" x14ac:dyDescent="0.35">
      <c r="A26" s="16" t="s">
        <v>69</v>
      </c>
      <c r="B26" s="67">
        <v>28000</v>
      </c>
      <c r="C26" s="141">
        <v>10</v>
      </c>
      <c r="D26" s="137">
        <f>IF('Questionnaire '!C6='Questionnaire '!C16,1,0)</f>
        <v>0</v>
      </c>
      <c r="E26" s="152"/>
      <c r="F26" s="150">
        <f>IF('Questionnaire '!C6='Questionnaire '!C18,Budget!B26,0)</f>
        <v>0</v>
      </c>
      <c r="G26" s="150">
        <f>IF('Questionnaire '!C18='Questionnaire '!C6+1,ROUND(Budget!B26+Budget!B26*0.03,0),0)</f>
        <v>0</v>
      </c>
      <c r="H26" s="150">
        <f>IF('Questionnaire '!C18='Questionnaire '!C6+2,ROUND(Budget!B26*(1.03^2),0),0)</f>
        <v>0</v>
      </c>
      <c r="I26" s="150">
        <f>IF('Questionnaire '!C18='Questionnaire '!C6+3,ROUND(Budget!B26*(1.03^3),0),0)</f>
        <v>0</v>
      </c>
      <c r="J26" s="150">
        <f>IF('Questionnaire '!C18='Questionnaire '!C6+4,ROUND(Budget!B26*(1.03^4),0),0)</f>
        <v>0</v>
      </c>
    </row>
    <row r="27" spans="1:12" ht="15" customHeight="1" x14ac:dyDescent="0.35">
      <c r="A27" s="16" t="s">
        <v>70</v>
      </c>
      <c r="B27" s="67">
        <v>10000</v>
      </c>
      <c r="C27" s="141">
        <v>3</v>
      </c>
      <c r="D27" s="137">
        <f>IF('Questionnaire '!C6='Questionnaire '!C12,1,0)</f>
        <v>0</v>
      </c>
      <c r="E27" s="152"/>
      <c r="F27" s="150">
        <f>IF('Questionnaire '!C6='Questionnaire '!C14,Budget!B27,0)</f>
        <v>0</v>
      </c>
      <c r="G27" s="150">
        <f>IF('Questionnaire '!C14='Questionnaire '!C6+1,ROUND(Budget!B27+Budget!B27*0.03,0),0)</f>
        <v>0</v>
      </c>
      <c r="H27" s="150">
        <f>IF('Questionnaire '!C14='Questionnaire '!C6+2,ROUND(Budget!B27*(1.03^2),0),0)</f>
        <v>0</v>
      </c>
      <c r="I27" s="150">
        <f>IF('Questionnaire '!C14='Questionnaire '!C6+3,ROUND(Budget!B27*(1.03^3),0),0)</f>
        <v>0</v>
      </c>
      <c r="J27" s="150">
        <f>IF('Questionnaire '!C14='Questionnaire '!C6+4,ROUND(Budget!B27*(1.03^4),0),0)</f>
        <v>0</v>
      </c>
    </row>
    <row r="28" spans="1:12" ht="29.5" thickBot="1" x14ac:dyDescent="0.4">
      <c r="A28" s="98" t="s">
        <v>141</v>
      </c>
      <c r="B28" s="69">
        <v>1000</v>
      </c>
      <c r="C28" s="183">
        <v>5</v>
      </c>
      <c r="D28" s="148">
        <v>1</v>
      </c>
      <c r="E28" s="153"/>
      <c r="F28" s="154">
        <f>IF(D28&gt;0,B28,0)</f>
        <v>1000</v>
      </c>
      <c r="G28" s="154">
        <f>IF(C28&gt;1,0,ROUND(B28*(1+0.03),0))</f>
        <v>0</v>
      </c>
      <c r="H28" s="154">
        <f>IF(OR(C28=1,C28=2),ROUND(B28*(1.03^2),0),0)</f>
        <v>0</v>
      </c>
      <c r="I28" s="154">
        <f>IF(OR(C28=1,C28=3),ROUND(B28*(1.03)^3,0),0)</f>
        <v>0</v>
      </c>
      <c r="J28" s="154">
        <f>IF(OR(C28=1,C28=2,C28=4),ROUND(B28*1.03^4,0),0)</f>
        <v>0</v>
      </c>
    </row>
    <row r="29" spans="1:12" x14ac:dyDescent="0.35">
      <c r="A29" s="5" t="s">
        <v>45</v>
      </c>
      <c r="B29" s="6"/>
      <c r="C29" s="7"/>
      <c r="D29" s="7"/>
      <c r="E29" s="15"/>
      <c r="F29" s="15">
        <f>SUM(F22:F28)</f>
        <v>1828</v>
      </c>
      <c r="G29" s="15">
        <f>SUM(G22:G28)</f>
        <v>595</v>
      </c>
      <c r="H29" s="15">
        <f>SUM(H22:H28)</f>
        <v>614</v>
      </c>
      <c r="I29" s="15">
        <f>SUM(I22:I28)</f>
        <v>904</v>
      </c>
      <c r="J29" s="15">
        <f>SUM(J22:J28)</f>
        <v>651</v>
      </c>
    </row>
    <row r="31" spans="1:12" ht="18.5" x14ac:dyDescent="0.45">
      <c r="A31" s="236" t="s">
        <v>14</v>
      </c>
      <c r="B31" s="236"/>
      <c r="C31" s="236"/>
      <c r="D31" s="236"/>
      <c r="E31" s="236"/>
      <c r="F31" s="236"/>
      <c r="G31" s="236"/>
      <c r="H31" s="236"/>
    </row>
    <row r="32" spans="1:12" ht="29.5" thickBot="1" x14ac:dyDescent="0.4">
      <c r="A32" s="33" t="s">
        <v>13</v>
      </c>
      <c r="B32" s="23" t="s">
        <v>107</v>
      </c>
      <c r="C32" s="122" t="s">
        <v>110</v>
      </c>
      <c r="D32" s="34" t="s">
        <v>3</v>
      </c>
      <c r="E32" s="33" t="s">
        <v>4</v>
      </c>
      <c r="F32" s="33" t="s">
        <v>5</v>
      </c>
      <c r="G32" s="33" t="s">
        <v>6</v>
      </c>
      <c r="H32" s="33" t="s">
        <v>7</v>
      </c>
    </row>
    <row r="33" spans="1:8" x14ac:dyDescent="0.35">
      <c r="A33" s="41" t="s">
        <v>14</v>
      </c>
      <c r="D33" s="32"/>
      <c r="E33" s="9"/>
      <c r="F33" s="9"/>
      <c r="G33" s="9"/>
      <c r="H33" s="102"/>
    </row>
    <row r="34" spans="1:8" x14ac:dyDescent="0.35">
      <c r="A34" s="25" t="s">
        <v>15</v>
      </c>
      <c r="B34" s="115">
        <f>$E$5</f>
        <v>1000000</v>
      </c>
      <c r="C34" s="199">
        <f>H5</f>
        <v>6.0000000000000001E-3</v>
      </c>
      <c r="D34" s="119">
        <f>B34*C34</f>
        <v>6000</v>
      </c>
      <c r="E34" s="30">
        <v>6000</v>
      </c>
      <c r="F34" s="30">
        <v>6000</v>
      </c>
      <c r="G34" s="30">
        <v>6000</v>
      </c>
      <c r="H34" s="30">
        <v>6000</v>
      </c>
    </row>
    <row r="35" spans="1:8" ht="29" x14ac:dyDescent="0.35">
      <c r="A35" s="189" t="s">
        <v>142</v>
      </c>
      <c r="B35" s="116">
        <f>E17+E18</f>
        <v>752</v>
      </c>
      <c r="C35" s="67">
        <v>2</v>
      </c>
      <c r="D35" s="125">
        <f>B35*C35</f>
        <v>1504</v>
      </c>
      <c r="E35" s="29">
        <f t="shared" ref="E35:H42" si="0">ROUND(D35+D35*0.03,0)</f>
        <v>1549</v>
      </c>
      <c r="F35" s="29">
        <f t="shared" si="0"/>
        <v>1595</v>
      </c>
      <c r="G35" s="29">
        <f t="shared" si="0"/>
        <v>1643</v>
      </c>
      <c r="H35" s="29">
        <f t="shared" si="0"/>
        <v>1692</v>
      </c>
    </row>
    <row r="36" spans="1:8" x14ac:dyDescent="0.35">
      <c r="A36" s="16" t="s">
        <v>16</v>
      </c>
      <c r="B36" s="131">
        <v>205</v>
      </c>
      <c r="C36" s="67">
        <v>3.5</v>
      </c>
      <c r="D36" s="125">
        <f>B36*C36</f>
        <v>717.5</v>
      </c>
      <c r="E36" s="29">
        <f t="shared" si="0"/>
        <v>739</v>
      </c>
      <c r="F36" s="29">
        <f t="shared" si="0"/>
        <v>761</v>
      </c>
      <c r="G36" s="29">
        <f t="shared" si="0"/>
        <v>784</v>
      </c>
      <c r="H36" s="29">
        <f t="shared" si="0"/>
        <v>808</v>
      </c>
    </row>
    <row r="37" spans="1:8" x14ac:dyDescent="0.35">
      <c r="A37" s="16" t="s">
        <v>17</v>
      </c>
      <c r="B37" s="131">
        <v>205</v>
      </c>
      <c r="C37" s="67">
        <v>3.5</v>
      </c>
      <c r="D37" s="125">
        <f>B37*C37</f>
        <v>717.5</v>
      </c>
      <c r="E37" s="29">
        <f t="shared" si="0"/>
        <v>739</v>
      </c>
      <c r="F37" s="29">
        <f t="shared" si="0"/>
        <v>761</v>
      </c>
      <c r="G37" s="29">
        <f t="shared" si="0"/>
        <v>784</v>
      </c>
      <c r="H37" s="29">
        <f t="shared" si="0"/>
        <v>808</v>
      </c>
    </row>
    <row r="38" spans="1:8" x14ac:dyDescent="0.35">
      <c r="A38" s="16" t="s">
        <v>18</v>
      </c>
      <c r="B38" s="47">
        <v>1</v>
      </c>
      <c r="C38" s="67">
        <v>100</v>
      </c>
      <c r="D38" s="125">
        <f>B38*C38</f>
        <v>100</v>
      </c>
      <c r="E38" s="29">
        <f t="shared" si="0"/>
        <v>103</v>
      </c>
      <c r="F38" s="29">
        <f t="shared" si="0"/>
        <v>106</v>
      </c>
      <c r="G38" s="29">
        <f t="shared" si="0"/>
        <v>109</v>
      </c>
      <c r="H38" s="29">
        <f t="shared" si="0"/>
        <v>112</v>
      </c>
    </row>
    <row r="39" spans="1:8" ht="16.5" x14ac:dyDescent="0.35">
      <c r="A39" s="16" t="s">
        <v>132</v>
      </c>
      <c r="B39" s="121"/>
      <c r="C39" s="67">
        <v>2800</v>
      </c>
      <c r="D39" s="125">
        <f>C39</f>
        <v>2800</v>
      </c>
      <c r="E39" s="29">
        <f t="shared" si="0"/>
        <v>2884</v>
      </c>
      <c r="F39" s="29">
        <f t="shared" si="0"/>
        <v>2971</v>
      </c>
      <c r="G39" s="29">
        <f t="shared" si="0"/>
        <v>3060</v>
      </c>
      <c r="H39" s="29">
        <f t="shared" si="0"/>
        <v>3152</v>
      </c>
    </row>
    <row r="40" spans="1:8" s="12" customFormat="1" ht="32.15" customHeight="1" x14ac:dyDescent="0.35">
      <c r="A40" s="16" t="s">
        <v>78</v>
      </c>
      <c r="B40" s="120">
        <f>ROUND(0.75*E17+0.9*E18,0)</f>
        <v>662</v>
      </c>
      <c r="C40" s="67">
        <v>1.25</v>
      </c>
      <c r="D40" s="125">
        <f>B40*C40</f>
        <v>827.5</v>
      </c>
      <c r="E40" s="29">
        <f t="shared" si="0"/>
        <v>852</v>
      </c>
      <c r="F40" s="29">
        <f t="shared" si="0"/>
        <v>878</v>
      </c>
      <c r="G40" s="29">
        <f t="shared" si="0"/>
        <v>904</v>
      </c>
      <c r="H40" s="29">
        <f t="shared" si="0"/>
        <v>931</v>
      </c>
    </row>
    <row r="41" spans="1:8" x14ac:dyDescent="0.35">
      <c r="A41" s="16" t="s">
        <v>111</v>
      </c>
      <c r="B41" s="120"/>
      <c r="C41" s="67">
        <v>4400</v>
      </c>
      <c r="D41" s="125">
        <f>C41</f>
        <v>4400</v>
      </c>
      <c r="E41" s="119">
        <f t="shared" si="0"/>
        <v>4532</v>
      </c>
      <c r="F41" s="119">
        <f t="shared" si="0"/>
        <v>4668</v>
      </c>
      <c r="G41" s="119">
        <f t="shared" si="0"/>
        <v>4808</v>
      </c>
      <c r="H41" s="119">
        <f t="shared" si="0"/>
        <v>4952</v>
      </c>
    </row>
    <row r="42" spans="1:8" x14ac:dyDescent="0.35">
      <c r="A42" s="16" t="s">
        <v>66</v>
      </c>
      <c r="B42" s="120"/>
      <c r="C42" s="67">
        <v>250</v>
      </c>
      <c r="D42" s="125">
        <f>C42</f>
        <v>250</v>
      </c>
      <c r="E42" s="29">
        <f t="shared" si="0"/>
        <v>258</v>
      </c>
      <c r="F42" s="29">
        <f t="shared" si="0"/>
        <v>266</v>
      </c>
      <c r="G42" s="29">
        <f t="shared" si="0"/>
        <v>274</v>
      </c>
      <c r="H42" s="29">
        <f t="shared" si="0"/>
        <v>282</v>
      </c>
    </row>
    <row r="43" spans="1:8" x14ac:dyDescent="0.35">
      <c r="A43" s="42" t="s">
        <v>68</v>
      </c>
      <c r="B43" s="114"/>
      <c r="C43" s="114"/>
      <c r="D43" s="126"/>
      <c r="E43" s="35"/>
      <c r="F43" s="35"/>
      <c r="G43" s="35"/>
      <c r="H43" s="36"/>
    </row>
    <row r="44" spans="1:8" x14ac:dyDescent="0.35">
      <c r="A44" s="16" t="s">
        <v>48</v>
      </c>
      <c r="B44" s="47">
        <v>1</v>
      </c>
      <c r="C44" s="47">
        <v>750</v>
      </c>
      <c r="D44" s="127">
        <v>750</v>
      </c>
      <c r="E44" s="29">
        <f>ROUND(D44+D44*0.03,0)</f>
        <v>773</v>
      </c>
      <c r="F44" s="29">
        <f>ROUND(E44+E44*0.03,0)</f>
        <v>796</v>
      </c>
      <c r="G44" s="29">
        <f>ROUND(F44+F44*0.03,0)</f>
        <v>820</v>
      </c>
      <c r="H44" s="29">
        <f>ROUND(G44+G44*0.03,0)</f>
        <v>845</v>
      </c>
    </row>
    <row r="45" spans="1:8" x14ac:dyDescent="0.35">
      <c r="A45" s="16" t="s">
        <v>49</v>
      </c>
      <c r="B45" s="47">
        <v>1</v>
      </c>
      <c r="C45" s="47">
        <v>250</v>
      </c>
      <c r="D45" s="127">
        <v>250</v>
      </c>
      <c r="E45" s="29">
        <v>250</v>
      </c>
      <c r="F45" s="29">
        <v>250</v>
      </c>
      <c r="G45" s="29">
        <v>250</v>
      </c>
      <c r="H45" s="29">
        <v>250</v>
      </c>
    </row>
    <row r="46" spans="1:8" x14ac:dyDescent="0.35">
      <c r="A46" s="16" t="s">
        <v>20</v>
      </c>
      <c r="B46" s="47">
        <v>1</v>
      </c>
      <c r="C46" s="47">
        <v>500</v>
      </c>
      <c r="D46" s="127">
        <v>500</v>
      </c>
      <c r="E46" s="29">
        <f>ROUND(D46+D46*0.03,0)</f>
        <v>515</v>
      </c>
      <c r="F46" s="29">
        <f>ROUND(E46+E46*0.03,0)</f>
        <v>530</v>
      </c>
      <c r="G46" s="29">
        <f>ROUND(F46+F46*0.03,0)</f>
        <v>546</v>
      </c>
      <c r="H46" s="29">
        <f>ROUND(G46+G46*0.03,0)</f>
        <v>562</v>
      </c>
    </row>
    <row r="47" spans="1:8" x14ac:dyDescent="0.35">
      <c r="A47" s="108" t="s">
        <v>104</v>
      </c>
      <c r="B47" s="130">
        <v>1</v>
      </c>
      <c r="C47" s="130">
        <v>27</v>
      </c>
      <c r="D47" s="128">
        <v>27</v>
      </c>
      <c r="E47" s="109">
        <v>27</v>
      </c>
      <c r="F47" s="109">
        <v>27</v>
      </c>
      <c r="G47" s="109">
        <v>27</v>
      </c>
      <c r="H47" s="109">
        <v>27</v>
      </c>
    </row>
    <row r="48" spans="1:8" ht="15" thickBot="1" x14ac:dyDescent="0.4">
      <c r="A48" s="27" t="s">
        <v>21</v>
      </c>
      <c r="B48" s="48">
        <v>1</v>
      </c>
      <c r="C48" s="48">
        <v>100</v>
      </c>
      <c r="D48" s="129">
        <v>100</v>
      </c>
      <c r="E48" s="110">
        <v>100</v>
      </c>
      <c r="F48" s="110">
        <v>100</v>
      </c>
      <c r="G48" s="110">
        <v>100</v>
      </c>
      <c r="H48" s="110">
        <v>100</v>
      </c>
    </row>
    <row r="49" spans="1:10" x14ac:dyDescent="0.35">
      <c r="A49" s="3" t="s">
        <v>22</v>
      </c>
      <c r="B49" s="3"/>
      <c r="C49" s="3"/>
      <c r="D49" s="10">
        <f>SUM(D34:D48)</f>
        <v>18943.5</v>
      </c>
      <c r="E49" s="10">
        <f>SUM(E34:E48)</f>
        <v>19321</v>
      </c>
      <c r="F49" s="10">
        <f>SUM(F34:F48)</f>
        <v>19709</v>
      </c>
      <c r="G49" s="10">
        <f>SUM(G34:G48)</f>
        <v>20109</v>
      </c>
      <c r="H49" s="10">
        <f>SUM(H34:H48)</f>
        <v>20521</v>
      </c>
      <c r="I49" s="12"/>
      <c r="J49" s="12"/>
    </row>
    <row r="50" spans="1:10" x14ac:dyDescent="0.35">
      <c r="A50" s="3"/>
      <c r="B50" s="3"/>
      <c r="C50" s="3"/>
      <c r="D50" s="10"/>
      <c r="E50" s="10"/>
      <c r="F50" s="10"/>
      <c r="G50" s="10"/>
      <c r="H50" s="10"/>
    </row>
    <row r="51" spans="1:10" x14ac:dyDescent="0.35">
      <c r="A51" s="3"/>
      <c r="B51" s="3"/>
      <c r="C51" s="3"/>
      <c r="D51" s="10"/>
      <c r="E51" s="10"/>
      <c r="F51" s="10"/>
      <c r="G51" s="10"/>
      <c r="H51" s="10"/>
    </row>
    <row r="52" spans="1:10" x14ac:dyDescent="0.35">
      <c r="D52" s="8"/>
      <c r="E52" s="8"/>
      <c r="F52" s="8"/>
      <c r="G52" s="8"/>
      <c r="H52" s="8"/>
    </row>
    <row r="53" spans="1:10" x14ac:dyDescent="0.35">
      <c r="D53" s="8"/>
      <c r="E53" s="8"/>
      <c r="F53" s="8"/>
      <c r="G53" s="8"/>
      <c r="H53" s="8"/>
    </row>
    <row r="54" spans="1:10" ht="18.5" x14ac:dyDescent="0.45">
      <c r="A54" s="236" t="s">
        <v>76</v>
      </c>
      <c r="B54" s="236"/>
      <c r="C54" s="236"/>
      <c r="D54" s="236"/>
      <c r="E54" s="236"/>
      <c r="F54" s="236"/>
      <c r="G54" s="200"/>
      <c r="H54" s="200"/>
    </row>
    <row r="55" spans="1:10" ht="15" thickBot="1" x14ac:dyDescent="0.4">
      <c r="A55" s="37"/>
      <c r="B55" s="34" t="s">
        <v>3</v>
      </c>
      <c r="C55" s="33" t="s">
        <v>4</v>
      </c>
      <c r="D55" s="33" t="s">
        <v>5</v>
      </c>
      <c r="E55" s="33" t="s">
        <v>6</v>
      </c>
      <c r="F55" s="33" t="s">
        <v>7</v>
      </c>
    </row>
    <row r="56" spans="1:10" x14ac:dyDescent="0.35">
      <c r="A56" s="25" t="s">
        <v>23</v>
      </c>
      <c r="B56" s="201">
        <v>0</v>
      </c>
      <c r="C56" s="39">
        <f>B63</f>
        <v>16728.500000000007</v>
      </c>
      <c r="D56" s="39">
        <f>C63</f>
        <v>34312.500000000015</v>
      </c>
      <c r="E56" s="39">
        <f>D63</f>
        <v>51489.500000000022</v>
      </c>
      <c r="F56" s="39">
        <f>E63</f>
        <v>67976.500000000029</v>
      </c>
    </row>
    <row r="57" spans="1:10" x14ac:dyDescent="0.35">
      <c r="A57" s="16" t="s">
        <v>24</v>
      </c>
      <c r="B57" s="38">
        <f>E85</f>
        <v>37500.000000000007</v>
      </c>
      <c r="C57" s="38">
        <f>E85</f>
        <v>37500.000000000007</v>
      </c>
      <c r="D57" s="38">
        <f>E85</f>
        <v>37500.000000000007</v>
      </c>
      <c r="E57" s="38">
        <f>E85</f>
        <v>37500.000000000007</v>
      </c>
      <c r="F57" s="38">
        <f>E85</f>
        <v>37500.000000000007</v>
      </c>
    </row>
    <row r="58" spans="1:10" x14ac:dyDescent="0.35">
      <c r="A58" s="16" t="s">
        <v>25</v>
      </c>
      <c r="B58" s="38"/>
      <c r="C58" s="38"/>
      <c r="D58" s="38"/>
      <c r="E58" s="38"/>
      <c r="F58" s="38"/>
    </row>
    <row r="59" spans="1:10" x14ac:dyDescent="0.35">
      <c r="A59" s="16" t="s">
        <v>64</v>
      </c>
      <c r="B59" s="38">
        <f>D49</f>
        <v>18943.5</v>
      </c>
      <c r="C59" s="38">
        <f>E49</f>
        <v>19321</v>
      </c>
      <c r="D59" s="38">
        <f>F49</f>
        <v>19709</v>
      </c>
      <c r="E59" s="38">
        <f>G49</f>
        <v>20109</v>
      </c>
      <c r="F59" s="38">
        <f>H49</f>
        <v>20521</v>
      </c>
    </row>
    <row r="60" spans="1:10" x14ac:dyDescent="0.35">
      <c r="A60" s="16" t="s">
        <v>65</v>
      </c>
      <c r="B60" s="38">
        <f>F29</f>
        <v>1828</v>
      </c>
      <c r="C60" s="38">
        <f>G29</f>
        <v>595</v>
      </c>
      <c r="D60" s="38">
        <f>H29</f>
        <v>614</v>
      </c>
      <c r="E60" s="38">
        <f>I29</f>
        <v>904</v>
      </c>
      <c r="F60" s="38">
        <f>J29</f>
        <v>651</v>
      </c>
    </row>
    <row r="61" spans="1:10" x14ac:dyDescent="0.35">
      <c r="A61" s="16" t="s">
        <v>28</v>
      </c>
      <c r="B61" s="38">
        <f>B59+B60</f>
        <v>20771.5</v>
      </c>
      <c r="C61" s="38">
        <f>C59+C60</f>
        <v>19916</v>
      </c>
      <c r="D61" s="38">
        <f>D59+D60</f>
        <v>20323</v>
      </c>
      <c r="E61" s="38">
        <f>E59+E60</f>
        <v>21013</v>
      </c>
      <c r="F61" s="38">
        <f>F59+F60</f>
        <v>21172</v>
      </c>
    </row>
    <row r="62" spans="1:10" x14ac:dyDescent="0.35">
      <c r="A62" s="16" t="s">
        <v>26</v>
      </c>
      <c r="B62" s="38">
        <f>B57-B61</f>
        <v>16728.500000000007</v>
      </c>
      <c r="C62" s="38">
        <f>C57-C61</f>
        <v>17584.000000000007</v>
      </c>
      <c r="D62" s="38">
        <f>D57-D61</f>
        <v>17177.000000000007</v>
      </c>
      <c r="E62" s="38">
        <f>E57-E61</f>
        <v>16487.000000000007</v>
      </c>
      <c r="F62" s="38">
        <f>F57-F61</f>
        <v>16328.000000000007</v>
      </c>
    </row>
    <row r="63" spans="1:10" x14ac:dyDescent="0.35">
      <c r="A63" s="16" t="s">
        <v>27</v>
      </c>
      <c r="B63" s="38">
        <f>B56+B62</f>
        <v>16728.500000000007</v>
      </c>
      <c r="C63" s="38">
        <f>C56+C62</f>
        <v>34312.500000000015</v>
      </c>
      <c r="D63" s="38">
        <f>D56+D62</f>
        <v>51489.500000000022</v>
      </c>
      <c r="E63" s="38">
        <f>E56+E62</f>
        <v>67976.500000000029</v>
      </c>
      <c r="F63" s="38">
        <f>F56+F62</f>
        <v>84304.500000000029</v>
      </c>
    </row>
    <row r="66" spans="1:8" ht="21.5" x14ac:dyDescent="0.75">
      <c r="A66" s="244" t="s">
        <v>151</v>
      </c>
      <c r="B66" s="245"/>
      <c r="C66" s="245"/>
      <c r="D66" s="245"/>
      <c r="E66" s="245"/>
      <c r="F66" s="245"/>
      <c r="G66" s="245"/>
      <c r="H66" s="245"/>
    </row>
    <row r="67" spans="1:8" x14ac:dyDescent="0.35">
      <c r="A67" s="107"/>
      <c r="B67" s="107"/>
      <c r="C67" s="107"/>
      <c r="D67" s="145"/>
      <c r="E67" s="145"/>
    </row>
    <row r="68" spans="1:8" ht="15" thickBot="1" x14ac:dyDescent="0.4">
      <c r="A68" s="23" t="s">
        <v>0</v>
      </c>
      <c r="B68" s="34" t="s">
        <v>1</v>
      </c>
      <c r="C68" s="33" t="s">
        <v>2</v>
      </c>
      <c r="D68" s="33" t="s">
        <v>3</v>
      </c>
      <c r="E68" s="33" t="s">
        <v>4</v>
      </c>
      <c r="F68" s="33" t="s">
        <v>5</v>
      </c>
      <c r="G68" s="33" t="s">
        <v>6</v>
      </c>
      <c r="H68" s="33" t="s">
        <v>7</v>
      </c>
    </row>
    <row r="69" spans="1:8" x14ac:dyDescent="0.35">
      <c r="A69" s="25" t="s">
        <v>8</v>
      </c>
      <c r="B69" s="144">
        <f t="shared" ref="B69:B75" si="1">B22</f>
        <v>7</v>
      </c>
      <c r="C69" s="140">
        <f t="shared" ref="C69:C75" si="2">C22</f>
        <v>4</v>
      </c>
      <c r="D69" s="26">
        <f>ROUND(E17*B69/C69,0)</f>
        <v>175</v>
      </c>
      <c r="E69" s="26">
        <f>ROUND((D69+D69*0.03),0)</f>
        <v>180</v>
      </c>
      <c r="F69" s="26">
        <f t="shared" ref="F69:H71" si="3">ROUND(E69+E69*0.03,0)</f>
        <v>185</v>
      </c>
      <c r="G69" s="26">
        <f t="shared" si="3"/>
        <v>191</v>
      </c>
      <c r="H69" s="26">
        <f t="shared" si="3"/>
        <v>197</v>
      </c>
    </row>
    <row r="70" spans="1:8" x14ac:dyDescent="0.35">
      <c r="A70" s="16" t="s">
        <v>9</v>
      </c>
      <c r="B70" s="144">
        <f t="shared" si="1"/>
        <v>6.2</v>
      </c>
      <c r="C70" s="141">
        <f t="shared" si="2"/>
        <v>10</v>
      </c>
      <c r="D70" s="26">
        <f>ROUND(E18*B70/C70,0)</f>
        <v>404</v>
      </c>
      <c r="E70" s="26">
        <f>ROUND((D70+D70*0.03),0)</f>
        <v>416</v>
      </c>
      <c r="F70" s="26">
        <f t="shared" si="3"/>
        <v>428</v>
      </c>
      <c r="G70" s="26">
        <f t="shared" si="3"/>
        <v>441</v>
      </c>
      <c r="H70" s="26">
        <f t="shared" si="3"/>
        <v>454</v>
      </c>
    </row>
    <row r="71" spans="1:8" x14ac:dyDescent="0.35">
      <c r="A71" s="16" t="s">
        <v>10</v>
      </c>
      <c r="B71" s="144">
        <f t="shared" si="1"/>
        <v>250</v>
      </c>
      <c r="C71" s="141">
        <f t="shared" si="2"/>
        <v>3</v>
      </c>
      <c r="D71" s="24">
        <f>B71/C71</f>
        <v>83.333333333333329</v>
      </c>
      <c r="E71" s="24">
        <f>ROUND(D71+D71*0.03,0)</f>
        <v>86</v>
      </c>
      <c r="F71" s="24">
        <f t="shared" si="3"/>
        <v>89</v>
      </c>
      <c r="G71" s="24">
        <f t="shared" si="3"/>
        <v>92</v>
      </c>
      <c r="H71" s="24">
        <f t="shared" si="3"/>
        <v>95</v>
      </c>
    </row>
    <row r="72" spans="1:8" x14ac:dyDescent="0.35">
      <c r="A72" s="16" t="s">
        <v>11</v>
      </c>
      <c r="B72" s="144">
        <f t="shared" si="1"/>
        <v>18000</v>
      </c>
      <c r="C72" s="141">
        <f t="shared" si="2"/>
        <v>7</v>
      </c>
      <c r="D72" s="24">
        <f>IF(AND(('Questionnaire '!C6-'Questionnaire '!C8)&gt;Budget!C72,'Questionnaire '!C10&gt;'Questionnaire '!C6),0,ROUND(Budget!B72/Budget!C72,0))</f>
        <v>0</v>
      </c>
      <c r="E72" s="24">
        <f>IF(AND(('Questionnaire '!C6+1-'Questionnaire '!C8)&gt;Budget!C72,'Questionnaire '!C10&gt;'Questionnaire '!C6+1),0,ROUND(Budget!B72/Budget!C72*1.03,0))</f>
        <v>0</v>
      </c>
      <c r="F72" s="24">
        <f>IF(AND(('Questionnaire '!C6+2-'Questionnaire '!C8)&gt;Budget!C72,'Questionnaire '!C10&gt;'Questionnaire '!C6+2),0,ROUND(Budget!B72/Budget!C72*1.03^2,0))</f>
        <v>0</v>
      </c>
      <c r="G72" s="24">
        <f>IF(AND(('Questionnaire '!C6+3-'Questionnaire '!C8)&gt;Budget!C72,'Questionnaire '!C10&gt;'Questionnaire '!C6+3),0,ROUND(Budget!B72/Budget!C72*1.03^3,0))</f>
        <v>0</v>
      </c>
      <c r="H72" s="24">
        <f>IF(AND(('Questionnaire '!C6+4-'Questionnaire '!C8)&gt;Budget!C72,'Questionnaire '!C10&gt;'Questionnaire '!C6+4),0,ROUND(Budget!B72/Budget!C72*1.03^4,0))</f>
        <v>0</v>
      </c>
    </row>
    <row r="73" spans="1:8" x14ac:dyDescent="0.35">
      <c r="A73" s="16" t="s">
        <v>69</v>
      </c>
      <c r="B73" s="144">
        <f t="shared" si="1"/>
        <v>28000</v>
      </c>
      <c r="C73" s="141">
        <f t="shared" si="2"/>
        <v>10</v>
      </c>
      <c r="D73" s="24">
        <f>IF(AND(('Questionnaire '!C6-'Questionnaire '!C16)&gt;Budget!C73,'Questionnaire '!C18&gt;'Questionnaire '!C6),0,ROUND(Budget!B73/Budget!C73,0))</f>
        <v>0</v>
      </c>
      <c r="E73" s="24">
        <f>IF(AND(('Questionnaire '!C6+1-'Questionnaire '!C16)&gt;Budget!C73,'Questionnaire '!C18&gt;'Questionnaire '!C6+1),0,ROUND(Budget!B73/Budget!C73*1.03,0))</f>
        <v>0</v>
      </c>
      <c r="F73" s="24">
        <f>IF(AND(('Questionnaire '!C6+2-'Questionnaire '!C16)&gt;Budget!C73,'Questionnaire '!C18&gt;'Questionnaire '!C6+2),0,ROUND(Budget!B73/Budget!C73*1.03^2,0))</f>
        <v>0</v>
      </c>
      <c r="G73" s="24">
        <f>IF(AND(('Questionnaire '!C6+3-'Questionnaire '!C16)&gt;Budget!C73,'Questionnaire '!C18&gt;'Questionnaire '!C6+3),0,ROUND(Budget!B73/Budget!C73*1.03^3,0))</f>
        <v>0</v>
      </c>
      <c r="H73" s="24">
        <f>IF(AND(('Questionnaire '!C6+4-'Questionnaire '!C16)&gt;Budget!C73,'Questionnaire '!C18&gt;'Questionnaire '!C6+4),0,ROUND(Budget!B73/Budget!C73*1.03^4,0))</f>
        <v>0</v>
      </c>
    </row>
    <row r="74" spans="1:8" x14ac:dyDescent="0.35">
      <c r="A74" s="16" t="s">
        <v>70</v>
      </c>
      <c r="B74" s="144">
        <f t="shared" si="1"/>
        <v>10000</v>
      </c>
      <c r="C74" s="141">
        <f t="shared" si="2"/>
        <v>3</v>
      </c>
      <c r="D74" s="24">
        <f>IF(AND(('Questionnaire '!C6-'Questionnaire '!C12)&gt;=Budget!C74,'Questionnaire '!C14&gt;'Questionnaire '!C6),0,IF(('Questionnaire '!C14-'Questionnaire '!C6)&gt;=1-Budget!C74,ROUND(Budget!B74/Budget!C74,0),0))</f>
        <v>0</v>
      </c>
      <c r="E74" s="24">
        <f>IF(AND((('Questionnaire '!C6+1)-'Questionnaire '!C12)&gt;=Budget!C74,'Questionnaire '!C14&gt;'Questionnaire '!C6+1),0,IF(('Questionnaire '!C14-('Questionnaire '!C6+1))&gt;=1-Budget!C74,ROUND(Budget!B74/Budget!C74*1.03,0),0))</f>
        <v>0</v>
      </c>
      <c r="F74" s="24">
        <f>IF(AND(('Questionnaire '!C6+2-'Questionnaire '!C12)&gt;=Budget!C74,'Questionnaire '!C14&gt;'Questionnaire '!C6+2),0,IF(('Questionnaire '!C14-('Questionnaire '!C6+2))&gt;=1-Budget!C74,ROUND(Budget!B74/Budget!C74*1.03^2,0),0))</f>
        <v>0</v>
      </c>
      <c r="G74" s="24">
        <f>IF(AND(('Questionnaire '!C6+3-'Questionnaire '!C12)&gt;=Budget!C74,'Questionnaire '!C14&gt;'Questionnaire '!C6+3),0,IF(('Questionnaire '!C14-('Questionnaire '!C6+3))&gt;=1-Budget!C74,ROUND(Budget!B74/Budget!C74*1.03^3,0),0))</f>
        <v>0</v>
      </c>
      <c r="H74" s="24">
        <f>IF(AND(('Questionnaire '!C6+4-'Questionnaire '!C12)&gt;=Budget!C74,'Questionnaire '!C14&gt;'Questionnaire '!C6+4),0,IF(('Questionnaire '!C14-('Questionnaire '!C6+4))&gt;=1-Budget!C74,ROUND(Budget!B74/Budget!C74*1.03^4,0),0))</f>
        <v>0</v>
      </c>
    </row>
    <row r="75" spans="1:8" ht="29.5" thickBot="1" x14ac:dyDescent="0.4">
      <c r="A75" s="98" t="s">
        <v>71</v>
      </c>
      <c r="B75" s="129">
        <f t="shared" si="1"/>
        <v>1000</v>
      </c>
      <c r="C75" s="142">
        <f t="shared" si="2"/>
        <v>5</v>
      </c>
      <c r="D75" s="28">
        <f>ROUND(B75/C75,0)</f>
        <v>200</v>
      </c>
      <c r="E75" s="28">
        <f>ROUND(D75+D75*0.03,0)</f>
        <v>206</v>
      </c>
      <c r="F75" s="28">
        <f>ROUND(E75+E75*0.03,0)</f>
        <v>212</v>
      </c>
      <c r="G75" s="28">
        <f>ROUND(F75+F75*0.03,0)</f>
        <v>218</v>
      </c>
      <c r="H75" s="28">
        <f>ROUND(G75+G75*0.03,0)</f>
        <v>225</v>
      </c>
    </row>
    <row r="76" spans="1:8" x14ac:dyDescent="0.35">
      <c r="A76" s="5" t="s">
        <v>45</v>
      </c>
      <c r="B76" s="6"/>
      <c r="C76" s="7"/>
      <c r="D76" s="15">
        <f>SUM(D69:D75)</f>
        <v>862.33333333333337</v>
      </c>
      <c r="E76" s="15">
        <f>SUM(E69:E75)</f>
        <v>888</v>
      </c>
      <c r="F76" s="15">
        <f>SUM(F69:F75)</f>
        <v>914</v>
      </c>
      <c r="G76" s="15">
        <f>SUM(G69:G75)</f>
        <v>942</v>
      </c>
      <c r="H76" s="15">
        <f>SUM(H69:H75)</f>
        <v>971</v>
      </c>
    </row>
    <row r="77" spans="1:8" x14ac:dyDescent="0.35">
      <c r="A77" s="7"/>
      <c r="B77" s="7"/>
      <c r="C77" s="7"/>
      <c r="D77" s="40"/>
      <c r="E77" s="40"/>
      <c r="F77" s="40"/>
      <c r="G77" s="40"/>
      <c r="H77" s="40"/>
    </row>
    <row r="79" spans="1:8" ht="18.5" x14ac:dyDescent="0.45">
      <c r="A79" s="236" t="s">
        <v>75</v>
      </c>
      <c r="B79" s="236"/>
      <c r="C79" s="236"/>
      <c r="D79" s="236"/>
      <c r="E79" s="236"/>
      <c r="F79" s="236"/>
      <c r="G79" s="49"/>
      <c r="H79" s="49"/>
    </row>
    <row r="80" spans="1:8" ht="15" thickBot="1" x14ac:dyDescent="0.4">
      <c r="A80" s="33" t="s">
        <v>29</v>
      </c>
      <c r="B80" s="33"/>
      <c r="C80" s="34" t="s">
        <v>30</v>
      </c>
      <c r="D80" s="33" t="s">
        <v>31</v>
      </c>
      <c r="E80" s="33" t="s">
        <v>32</v>
      </c>
    </row>
    <row r="81" spans="1:6" x14ac:dyDescent="0.35">
      <c r="A81" s="31" t="s">
        <v>33</v>
      </c>
      <c r="B81" s="31"/>
      <c r="C81" s="6"/>
      <c r="D81" s="7"/>
      <c r="E81" s="7"/>
    </row>
    <row r="82" spans="1:6" x14ac:dyDescent="0.35">
      <c r="A82" s="7" t="s">
        <v>34</v>
      </c>
      <c r="B82" s="7"/>
      <c r="C82" s="50">
        <f>E13*C85</f>
        <v>420000.00000000006</v>
      </c>
      <c r="D82" s="51">
        <f>H7</f>
        <v>7.0000000000000007E-2</v>
      </c>
      <c r="E82" s="11">
        <f>D82*C82</f>
        <v>29400.000000000007</v>
      </c>
    </row>
    <row r="83" spans="1:6" x14ac:dyDescent="0.35">
      <c r="A83" s="7" t="s">
        <v>35</v>
      </c>
      <c r="B83" s="7"/>
      <c r="C83" s="50">
        <f>E14*C85</f>
        <v>120000.00000000003</v>
      </c>
      <c r="D83" s="51">
        <f>H8</f>
        <v>0.05</v>
      </c>
      <c r="E83" s="11">
        <f>D83*C83</f>
        <v>6000.0000000000018</v>
      </c>
    </row>
    <row r="84" spans="1:6" x14ac:dyDescent="0.35">
      <c r="A84" s="7" t="s">
        <v>36</v>
      </c>
      <c r="B84" s="7"/>
      <c r="C84" s="50">
        <f>E15*C85</f>
        <v>60000.000000000015</v>
      </c>
      <c r="D84" s="52">
        <f>H9</f>
        <v>3.5000000000000003E-2</v>
      </c>
      <c r="E84" s="13">
        <f>D84*C84</f>
        <v>2100.0000000000009</v>
      </c>
    </row>
    <row r="85" spans="1:6" x14ac:dyDescent="0.35">
      <c r="A85" s="5" t="s">
        <v>79</v>
      </c>
      <c r="B85" s="5"/>
      <c r="C85" s="50">
        <f>C87*E11</f>
        <v>600000.00000000012</v>
      </c>
      <c r="D85" s="51"/>
      <c r="E85" s="53">
        <f>SUM(E82:E84)</f>
        <v>37500.000000000007</v>
      </c>
    </row>
    <row r="86" spans="1:6" x14ac:dyDescent="0.35">
      <c r="A86" s="31" t="s">
        <v>14</v>
      </c>
      <c r="B86" s="31"/>
      <c r="C86" s="31"/>
      <c r="D86" s="50"/>
      <c r="E86" s="51"/>
      <c r="F86" s="11"/>
    </row>
    <row r="87" spans="1:6" x14ac:dyDescent="0.35">
      <c r="A87" s="7" t="s">
        <v>82</v>
      </c>
      <c r="B87" s="7"/>
      <c r="C87" s="50">
        <f>E5</f>
        <v>1000000</v>
      </c>
      <c r="D87" s="52">
        <f>H5</f>
        <v>6.0000000000000001E-3</v>
      </c>
      <c r="E87" s="11">
        <f>D87*C87</f>
        <v>6000</v>
      </c>
    </row>
    <row r="88" spans="1:6" x14ac:dyDescent="0.35">
      <c r="A88" s="7" t="s">
        <v>83</v>
      </c>
      <c r="B88" s="7"/>
      <c r="C88" s="50">
        <f>E18+E17</f>
        <v>752</v>
      </c>
      <c r="D88" s="11">
        <f>C35</f>
        <v>2</v>
      </c>
      <c r="E88" s="11">
        <f>D88*C88</f>
        <v>1504</v>
      </c>
    </row>
    <row r="89" spans="1:6" x14ac:dyDescent="0.35">
      <c r="A89" s="7" t="s">
        <v>84</v>
      </c>
      <c r="B89" s="7"/>
      <c r="C89" s="50">
        <f>B36</f>
        <v>205</v>
      </c>
      <c r="D89" s="51">
        <f>C36</f>
        <v>3.5</v>
      </c>
      <c r="E89" s="11">
        <f>ROUND(D89*C89,0)</f>
        <v>718</v>
      </c>
    </row>
    <row r="90" spans="1:6" x14ac:dyDescent="0.35">
      <c r="A90" s="7" t="s">
        <v>85</v>
      </c>
      <c r="B90" s="7"/>
      <c r="C90" s="50">
        <f>B37</f>
        <v>205</v>
      </c>
      <c r="D90" s="51">
        <f>C37</f>
        <v>3.5</v>
      </c>
      <c r="E90" s="11">
        <f>ROUND(D90*C90,0)</f>
        <v>718</v>
      </c>
    </row>
    <row r="91" spans="1:6" x14ac:dyDescent="0.35">
      <c r="A91" s="7" t="s">
        <v>109</v>
      </c>
      <c r="B91" s="7"/>
      <c r="C91" s="50"/>
      <c r="E91" s="11">
        <f>C39</f>
        <v>2800</v>
      </c>
    </row>
    <row r="92" spans="1:6" x14ac:dyDescent="0.35">
      <c r="A92" s="7" t="s">
        <v>86</v>
      </c>
      <c r="B92" s="7"/>
      <c r="C92" s="50">
        <f>B40</f>
        <v>662</v>
      </c>
      <c r="D92" s="51">
        <f>C40</f>
        <v>1.25</v>
      </c>
      <c r="E92" s="11">
        <f>ROUND(D92*C92,0)</f>
        <v>828</v>
      </c>
    </row>
    <row r="93" spans="1:6" x14ac:dyDescent="0.35">
      <c r="A93" s="7" t="s">
        <v>87</v>
      </c>
      <c r="B93" s="7"/>
      <c r="C93" s="50">
        <f>B38</f>
        <v>1</v>
      </c>
      <c r="D93" s="11">
        <f>C38</f>
        <v>100</v>
      </c>
      <c r="E93" s="11">
        <f>C93*D93</f>
        <v>100</v>
      </c>
    </row>
    <row r="94" spans="1:6" x14ac:dyDescent="0.35">
      <c r="A94" s="7" t="s">
        <v>105</v>
      </c>
      <c r="B94" s="7"/>
      <c r="C94" s="50"/>
      <c r="D94" s="11"/>
      <c r="E94" s="11">
        <f>C41</f>
        <v>4400</v>
      </c>
    </row>
    <row r="95" spans="1:6" x14ac:dyDescent="0.35">
      <c r="A95" s="7" t="s">
        <v>80</v>
      </c>
      <c r="B95" s="7"/>
      <c r="C95" s="50"/>
      <c r="D95" s="51"/>
      <c r="E95" s="13">
        <f>C42</f>
        <v>250</v>
      </c>
    </row>
    <row r="96" spans="1:6" x14ac:dyDescent="0.35">
      <c r="A96" s="5" t="s">
        <v>37</v>
      </c>
      <c r="B96" s="5"/>
      <c r="C96" s="5"/>
      <c r="D96" s="50"/>
      <c r="E96" s="53">
        <f>SUM(E87:E95)</f>
        <v>17318</v>
      </c>
      <c r="F96" s="53"/>
    </row>
    <row r="97" spans="1:6" x14ac:dyDescent="0.35">
      <c r="A97" s="31" t="s">
        <v>38</v>
      </c>
      <c r="B97" s="31"/>
      <c r="C97" s="31"/>
      <c r="D97" s="50"/>
      <c r="E97" s="51"/>
      <c r="F97" s="11"/>
    </row>
    <row r="98" spans="1:6" x14ac:dyDescent="0.35">
      <c r="A98" s="123" t="s">
        <v>19</v>
      </c>
      <c r="B98" s="7"/>
      <c r="C98" s="7"/>
      <c r="D98" s="6"/>
      <c r="E98" s="7"/>
      <c r="F98" s="7"/>
    </row>
    <row r="99" spans="1:6" x14ac:dyDescent="0.35">
      <c r="A99" s="7" t="s">
        <v>114</v>
      </c>
      <c r="B99" s="7"/>
      <c r="C99" s="50">
        <f t="shared" ref="C99:D103" si="4">B44</f>
        <v>1</v>
      </c>
      <c r="D99" s="11">
        <f t="shared" si="4"/>
        <v>750</v>
      </c>
      <c r="E99" s="11">
        <f>D99*C99</f>
        <v>750</v>
      </c>
    </row>
    <row r="100" spans="1:6" x14ac:dyDescent="0.35">
      <c r="A100" s="7" t="s">
        <v>115</v>
      </c>
      <c r="B100" s="7"/>
      <c r="C100" s="50">
        <f t="shared" si="4"/>
        <v>1</v>
      </c>
      <c r="D100" s="11">
        <f t="shared" si="4"/>
        <v>250</v>
      </c>
      <c r="E100" s="11">
        <f>C100*D100</f>
        <v>250</v>
      </c>
    </row>
    <row r="101" spans="1:6" x14ac:dyDescent="0.35">
      <c r="A101" s="7" t="s">
        <v>81</v>
      </c>
      <c r="B101" s="7"/>
      <c r="C101" s="50">
        <f t="shared" si="4"/>
        <v>1</v>
      </c>
      <c r="D101" s="11">
        <f t="shared" si="4"/>
        <v>500</v>
      </c>
      <c r="E101" s="11">
        <f>D101*C101</f>
        <v>500</v>
      </c>
    </row>
    <row r="102" spans="1:6" x14ac:dyDescent="0.35">
      <c r="A102" s="7" t="s">
        <v>112</v>
      </c>
      <c r="B102" s="7"/>
      <c r="C102" s="50">
        <f t="shared" si="4"/>
        <v>1</v>
      </c>
      <c r="D102" s="11">
        <f t="shared" si="4"/>
        <v>27</v>
      </c>
      <c r="E102" s="11">
        <f>C102*D102</f>
        <v>27</v>
      </c>
    </row>
    <row r="103" spans="1:6" x14ac:dyDescent="0.35">
      <c r="A103" s="7" t="s">
        <v>113</v>
      </c>
      <c r="B103" s="7"/>
      <c r="C103" s="50">
        <f t="shared" si="4"/>
        <v>1</v>
      </c>
      <c r="D103" s="11">
        <f t="shared" si="4"/>
        <v>100</v>
      </c>
      <c r="E103" s="11">
        <f>D103*C103</f>
        <v>100</v>
      </c>
    </row>
    <row r="104" spans="1:6" x14ac:dyDescent="0.35">
      <c r="A104" s="7" t="s">
        <v>39</v>
      </c>
      <c r="B104" s="7"/>
      <c r="C104" s="7"/>
      <c r="D104" s="6"/>
      <c r="E104" s="11">
        <f>ROUND(AVERAGE(F29:J29),0)</f>
        <v>918</v>
      </c>
    </row>
    <row r="105" spans="1:6" x14ac:dyDescent="0.35">
      <c r="A105" s="7" t="s">
        <v>40</v>
      </c>
      <c r="B105" s="7"/>
      <c r="C105" s="7"/>
      <c r="D105" s="6"/>
      <c r="E105" s="13">
        <f>AVERAGE(D76:H76)</f>
        <v>915.46666666666681</v>
      </c>
    </row>
    <row r="106" spans="1:6" x14ac:dyDescent="0.35">
      <c r="A106" s="5" t="s">
        <v>41</v>
      </c>
      <c r="B106" s="5"/>
      <c r="C106" s="5"/>
      <c r="D106" s="6"/>
      <c r="E106" s="53">
        <f>SUM(E99:E105)</f>
        <v>3460.4666666666667</v>
      </c>
    </row>
    <row r="107" spans="1:6" x14ac:dyDescent="0.35">
      <c r="A107" s="5"/>
      <c r="B107" s="5"/>
      <c r="C107" s="5"/>
      <c r="D107" s="6"/>
      <c r="E107" s="53"/>
    </row>
    <row r="108" spans="1:6" x14ac:dyDescent="0.35">
      <c r="A108" s="31" t="s">
        <v>90</v>
      </c>
      <c r="B108" s="31"/>
      <c r="C108" s="31"/>
      <c r="D108" s="6"/>
      <c r="E108" s="53">
        <f>E106+E96</f>
        <v>20778.466666666667</v>
      </c>
    </row>
    <row r="109" spans="1:6" x14ac:dyDescent="0.35">
      <c r="A109" s="31"/>
      <c r="B109" s="31"/>
      <c r="C109" s="31"/>
      <c r="D109" s="6"/>
      <c r="E109" s="53"/>
    </row>
    <row r="110" spans="1:6" x14ac:dyDescent="0.35">
      <c r="A110" s="31" t="s">
        <v>122</v>
      </c>
      <c r="B110" s="31"/>
      <c r="C110" s="31"/>
      <c r="D110" s="6"/>
      <c r="E110" s="53"/>
    </row>
    <row r="111" spans="1:6" x14ac:dyDescent="0.35">
      <c r="A111" s="123" t="s">
        <v>123</v>
      </c>
      <c r="B111" s="31"/>
      <c r="C111" s="31"/>
      <c r="D111" s="6"/>
      <c r="E111" s="11"/>
    </row>
    <row r="112" spans="1:6" x14ac:dyDescent="0.35">
      <c r="A112" s="5" t="s">
        <v>119</v>
      </c>
      <c r="B112" s="31"/>
      <c r="C112" s="31"/>
      <c r="D112" s="6"/>
      <c r="E112" s="11">
        <f>E85-(E108-E105)</f>
        <v>17637.000000000007</v>
      </c>
    </row>
    <row r="113" spans="1:27" x14ac:dyDescent="0.35">
      <c r="A113" s="5" t="s">
        <v>120</v>
      </c>
      <c r="B113" s="31"/>
      <c r="C113" s="31"/>
      <c r="D113" s="6"/>
      <c r="E113" s="157">
        <f>(E108-E105)/C85</f>
        <v>3.3104999999999996E-2</v>
      </c>
    </row>
    <row r="114" spans="1:27" x14ac:dyDescent="0.35">
      <c r="A114" s="5" t="s">
        <v>137</v>
      </c>
      <c r="B114" s="31"/>
      <c r="C114" s="31"/>
      <c r="D114" s="6"/>
      <c r="E114" s="55">
        <f>((E108-E105)/(D82*(C82/C85)+D83*(C83/C85)+D84*(C84/C85)))/C87</f>
        <v>0.31780799999999998</v>
      </c>
    </row>
    <row r="115" spans="1:27" x14ac:dyDescent="0.35">
      <c r="A115" s="158" t="s">
        <v>90</v>
      </c>
      <c r="B115" s="156"/>
      <c r="C115" s="156"/>
      <c r="D115" s="156"/>
      <c r="E115" s="156"/>
      <c r="F115" s="156"/>
    </row>
    <row r="116" spans="1:27" x14ac:dyDescent="0.35">
      <c r="A116" s="5" t="s">
        <v>42</v>
      </c>
      <c r="B116" s="5"/>
      <c r="C116" s="5"/>
      <c r="D116" s="6"/>
      <c r="E116" s="11">
        <f>E85-E108</f>
        <v>16721.53333333334</v>
      </c>
    </row>
    <row r="117" spans="1:27" x14ac:dyDescent="0.35">
      <c r="A117" s="5" t="s">
        <v>43</v>
      </c>
      <c r="B117" s="5"/>
      <c r="C117" s="5"/>
      <c r="D117" s="6"/>
      <c r="E117" s="54">
        <f>E108/C85</f>
        <v>3.4630777777777774E-2</v>
      </c>
    </row>
    <row r="118" spans="1:27" x14ac:dyDescent="0.35">
      <c r="A118" s="5" t="s">
        <v>133</v>
      </c>
      <c r="B118" s="5"/>
      <c r="C118" s="5"/>
      <c r="D118" s="6"/>
      <c r="E118" s="55">
        <f>(E108/(D82*(C82/C85)+D83*(C83/C85)+D84*(C84/C85)))/C87</f>
        <v>0.3324554666666667</v>
      </c>
    </row>
    <row r="121" spans="1:27" ht="15.5" x14ac:dyDescent="0.35">
      <c r="A121"/>
      <c r="B121"/>
      <c r="C121"/>
      <c r="D121"/>
      <c r="E121"/>
      <c r="F121"/>
      <c r="G121"/>
      <c r="H121"/>
    </row>
    <row r="122" spans="1:27" ht="15.5" x14ac:dyDescent="0.35">
      <c r="A122"/>
      <c r="B122"/>
      <c r="C122"/>
      <c r="D122" s="61"/>
      <c r="E122"/>
      <c r="F122"/>
      <c r="G122"/>
      <c r="H122"/>
    </row>
    <row r="123" spans="1:27" ht="15.5" x14ac:dyDescent="0.35">
      <c r="A123"/>
      <c r="B123"/>
      <c r="C123"/>
      <c r="D123" s="61"/>
      <c r="E123" s="63"/>
      <c r="F123" s="63"/>
      <c r="G123" s="64"/>
      <c r="H123" s="65"/>
    </row>
    <row r="124" spans="1:27" ht="15.5" hidden="1" x14ac:dyDescent="0.35">
      <c r="L124" t="s">
        <v>88</v>
      </c>
      <c r="M124" s="61"/>
      <c r="N124"/>
      <c r="O124"/>
      <c r="P124"/>
      <c r="Q124"/>
    </row>
    <row r="125" spans="1:27" hidden="1" x14ac:dyDescent="0.35">
      <c r="L125" s="1" t="s">
        <v>46</v>
      </c>
      <c r="M125" s="4" t="s">
        <v>89</v>
      </c>
      <c r="N125" s="1" t="s">
        <v>106</v>
      </c>
      <c r="O125" s="1" t="s">
        <v>90</v>
      </c>
      <c r="P125" s="1" t="s">
        <v>42</v>
      </c>
      <c r="Q125" s="1" t="s">
        <v>43</v>
      </c>
      <c r="R125" s="1" t="s">
        <v>91</v>
      </c>
      <c r="U125" s="1" t="s">
        <v>46</v>
      </c>
      <c r="V125" s="4" t="s">
        <v>89</v>
      </c>
      <c r="W125" s="1" t="s">
        <v>106</v>
      </c>
      <c r="X125" s="1" t="s">
        <v>123</v>
      </c>
      <c r="Y125" s="1" t="s">
        <v>119</v>
      </c>
      <c r="Z125" s="1" t="s">
        <v>124</v>
      </c>
      <c r="AA125" s="1" t="s">
        <v>91</v>
      </c>
    </row>
    <row r="126" spans="1:27" hidden="1" x14ac:dyDescent="0.35">
      <c r="J126" s="10"/>
      <c r="M126" s="4">
        <f>C85</f>
        <v>600000.00000000012</v>
      </c>
      <c r="N126" s="10">
        <f>E85</f>
        <v>37500.000000000007</v>
      </c>
      <c r="O126" s="10">
        <f>E108</f>
        <v>20778.466666666667</v>
      </c>
      <c r="P126" s="10">
        <f>E116</f>
        <v>16721.53333333334</v>
      </c>
      <c r="Q126" s="74">
        <f>E117</f>
        <v>3.4630777777777774E-2</v>
      </c>
      <c r="R126" s="14">
        <f>E118</f>
        <v>0.3324554666666667</v>
      </c>
      <c r="V126" s="4">
        <f>C85</f>
        <v>600000.00000000012</v>
      </c>
      <c r="W126" s="10">
        <f>E85</f>
        <v>37500.000000000007</v>
      </c>
      <c r="X126" s="10">
        <f>E108-E105</f>
        <v>19863</v>
      </c>
      <c r="Y126" s="10">
        <f>E112</f>
        <v>17637.000000000007</v>
      </c>
      <c r="Z126" s="74">
        <f>E113</f>
        <v>3.3104999999999996E-2</v>
      </c>
      <c r="AA126" s="14">
        <f>E114</f>
        <v>0.31780799999999998</v>
      </c>
    </row>
    <row r="127" spans="1:27" hidden="1" x14ac:dyDescent="0.35">
      <c r="L127" s="1">
        <v>2E-3</v>
      </c>
      <c r="M127" s="71">
        <f t="dataTable" ref="M127:R140" dt2D="0" dtr="0" r1="D87" ca="1"/>
        <v>600000.00000000012</v>
      </c>
      <c r="N127" s="73">
        <v>37500.000000000007</v>
      </c>
      <c r="O127" s="73">
        <v>16778.466666666667</v>
      </c>
      <c r="P127" s="74">
        <v>20721.53333333334</v>
      </c>
      <c r="Q127" s="14">
        <v>2.7964111111111106E-2</v>
      </c>
      <c r="R127" s="1">
        <v>0.2684554666666667</v>
      </c>
      <c r="U127" s="1">
        <v>2E-3</v>
      </c>
      <c r="V127" s="1">
        <f t="dataTable" ref="V127:AA140" dt2D="0" dtr="0" r1="H5" ca="1"/>
        <v>600000.00000000012</v>
      </c>
      <c r="W127" s="1">
        <v>37500.000000000007</v>
      </c>
      <c r="X127" s="1">
        <v>15863</v>
      </c>
      <c r="Y127" s="1">
        <v>21637.000000000007</v>
      </c>
      <c r="Z127" s="1">
        <v>2.6438333333333328E-2</v>
      </c>
      <c r="AA127" s="1">
        <v>0.25380799999999998</v>
      </c>
    </row>
    <row r="128" spans="1:27" hidden="1" x14ac:dyDescent="0.35">
      <c r="L128" s="1">
        <f>0.003</f>
        <v>3.0000000000000001E-3</v>
      </c>
      <c r="M128" s="71">
        <v>600000.00000000012</v>
      </c>
      <c r="N128" s="73">
        <v>37500.000000000007</v>
      </c>
      <c r="O128" s="73">
        <v>17778.466666666667</v>
      </c>
      <c r="P128" s="74">
        <v>19721.53333333334</v>
      </c>
      <c r="Q128" s="14">
        <v>2.9630777777777773E-2</v>
      </c>
      <c r="R128" s="1">
        <v>0.28445546666666666</v>
      </c>
      <c r="U128" s="1">
        <f>0.003</f>
        <v>3.0000000000000001E-3</v>
      </c>
      <c r="V128" s="1">
        <v>600000.00000000012</v>
      </c>
      <c r="W128" s="1">
        <v>37500.000000000007</v>
      </c>
      <c r="X128" s="1">
        <v>16863</v>
      </c>
      <c r="Y128" s="1">
        <v>20637.000000000007</v>
      </c>
      <c r="Z128" s="1">
        <v>2.8104999999999995E-2</v>
      </c>
      <c r="AA128" s="1">
        <v>0.26980799999999999</v>
      </c>
    </row>
    <row r="129" spans="12:27" hidden="1" x14ac:dyDescent="0.35">
      <c r="L129" s="1">
        <f>0.004</f>
        <v>4.0000000000000001E-3</v>
      </c>
      <c r="M129" s="71">
        <v>600000.00000000012</v>
      </c>
      <c r="N129" s="73">
        <v>37500.000000000007</v>
      </c>
      <c r="O129" s="1">
        <v>18778.466666666667</v>
      </c>
      <c r="P129" s="74">
        <v>18721.53333333334</v>
      </c>
      <c r="Q129" s="14">
        <v>3.129744444444444E-2</v>
      </c>
      <c r="R129" s="1">
        <v>0.30045546666666667</v>
      </c>
      <c r="U129" s="1">
        <f>0.004</f>
        <v>4.0000000000000001E-3</v>
      </c>
      <c r="V129" s="1">
        <v>600000.00000000012</v>
      </c>
      <c r="W129" s="1">
        <v>37500.000000000007</v>
      </c>
      <c r="X129" s="1">
        <v>17863</v>
      </c>
      <c r="Y129" s="1">
        <v>19637.000000000007</v>
      </c>
      <c r="Z129" s="1">
        <v>2.9771666666666662E-2</v>
      </c>
      <c r="AA129" s="1">
        <v>0.28580800000000001</v>
      </c>
    </row>
    <row r="130" spans="12:27" hidden="1" x14ac:dyDescent="0.35">
      <c r="L130" s="1">
        <v>5.0000000000000001E-3</v>
      </c>
      <c r="M130" s="71">
        <v>600000.00000000012</v>
      </c>
      <c r="N130" s="73">
        <v>37500.000000000007</v>
      </c>
      <c r="O130" s="1">
        <v>19778.466666666667</v>
      </c>
      <c r="P130" s="74">
        <v>17721.53333333334</v>
      </c>
      <c r="Q130" s="14">
        <v>3.2964111111111104E-2</v>
      </c>
      <c r="R130" s="1">
        <v>0.31645546666666668</v>
      </c>
      <c r="U130" s="1">
        <v>5.0000000000000001E-3</v>
      </c>
      <c r="V130" s="1">
        <v>600000.00000000012</v>
      </c>
      <c r="W130" s="1">
        <v>37500.000000000007</v>
      </c>
      <c r="X130" s="1">
        <v>18863</v>
      </c>
      <c r="Y130" s="1">
        <v>18637.000000000007</v>
      </c>
      <c r="Z130" s="1">
        <v>3.1438333333333325E-2</v>
      </c>
      <c r="AA130" s="1">
        <v>0.30180800000000002</v>
      </c>
    </row>
    <row r="131" spans="12:27" hidden="1" x14ac:dyDescent="0.35">
      <c r="L131" s="1">
        <v>6.0000000000000001E-3</v>
      </c>
      <c r="M131" s="71">
        <v>600000.00000000012</v>
      </c>
      <c r="N131" s="73">
        <v>37500.000000000007</v>
      </c>
      <c r="O131" s="73">
        <v>20778.466666666667</v>
      </c>
      <c r="P131" s="74">
        <v>16721.53333333334</v>
      </c>
      <c r="Q131" s="14">
        <v>3.4630777777777774E-2</v>
      </c>
      <c r="R131" s="1">
        <v>0.3324554666666667</v>
      </c>
      <c r="U131" s="1">
        <v>6.0000000000000001E-3</v>
      </c>
      <c r="V131" s="1">
        <v>600000.00000000012</v>
      </c>
      <c r="W131" s="1">
        <v>37500.000000000007</v>
      </c>
      <c r="X131" s="1">
        <v>19863</v>
      </c>
      <c r="Y131" s="1">
        <v>17637.000000000007</v>
      </c>
      <c r="Z131" s="1">
        <v>3.3104999999999996E-2</v>
      </c>
      <c r="AA131" s="1">
        <v>0.31780799999999998</v>
      </c>
    </row>
    <row r="132" spans="12:27" hidden="1" x14ac:dyDescent="0.35">
      <c r="L132" s="1">
        <v>7.0000000000000001E-3</v>
      </c>
      <c r="M132" s="71">
        <v>600000.00000000012</v>
      </c>
      <c r="N132" s="73">
        <v>37500.000000000007</v>
      </c>
      <c r="O132" s="73">
        <v>21778.466666666667</v>
      </c>
      <c r="P132" s="74">
        <v>15721.53333333334</v>
      </c>
      <c r="Q132" s="14">
        <v>3.6297444444444438E-2</v>
      </c>
      <c r="R132" s="1">
        <v>0.34845546666666666</v>
      </c>
      <c r="U132" s="1">
        <v>7.0000000000000001E-3</v>
      </c>
      <c r="V132" s="1">
        <v>600000.00000000012</v>
      </c>
      <c r="W132" s="1">
        <v>37500.000000000007</v>
      </c>
      <c r="X132" s="1">
        <v>20863</v>
      </c>
      <c r="Y132" s="1">
        <v>16637.000000000007</v>
      </c>
      <c r="Z132" s="1">
        <v>3.4771666666666659E-2</v>
      </c>
      <c r="AA132" s="1">
        <v>0.33380799999999999</v>
      </c>
    </row>
    <row r="133" spans="12:27" hidden="1" x14ac:dyDescent="0.35">
      <c r="L133" s="1">
        <v>8.0000000000000002E-3</v>
      </c>
      <c r="M133" s="71">
        <v>600000.00000000012</v>
      </c>
      <c r="N133" s="73">
        <v>37500.000000000007</v>
      </c>
      <c r="O133" s="73">
        <v>22778.466666666667</v>
      </c>
      <c r="P133" s="74">
        <v>14721.53333333334</v>
      </c>
      <c r="Q133" s="14">
        <v>3.7964111111111101E-2</v>
      </c>
      <c r="R133" s="1">
        <v>0.36445546666666667</v>
      </c>
      <c r="U133" s="1">
        <v>8.0000000000000002E-3</v>
      </c>
      <c r="V133" s="1">
        <v>600000.00000000012</v>
      </c>
      <c r="W133" s="1">
        <v>37500.000000000007</v>
      </c>
      <c r="X133" s="1">
        <v>21863</v>
      </c>
      <c r="Y133" s="1">
        <v>15637.000000000007</v>
      </c>
      <c r="Z133" s="1">
        <v>3.643833333333333E-2</v>
      </c>
      <c r="AA133" s="1">
        <v>0.34980800000000001</v>
      </c>
    </row>
    <row r="134" spans="12:27" hidden="1" x14ac:dyDescent="0.35">
      <c r="L134" s="1">
        <v>8.9999999999999993E-3</v>
      </c>
      <c r="M134" s="71">
        <v>600000.00000000012</v>
      </c>
      <c r="N134" s="73">
        <v>37500.000000000007</v>
      </c>
      <c r="O134" s="73">
        <v>23778.466666666667</v>
      </c>
      <c r="P134" s="74">
        <v>13721.53333333334</v>
      </c>
      <c r="Q134" s="14">
        <v>3.9630777777777772E-2</v>
      </c>
      <c r="R134" s="1">
        <v>0.38045546666666669</v>
      </c>
      <c r="U134" s="1">
        <v>8.9999999999999993E-3</v>
      </c>
      <c r="V134" s="1">
        <v>600000.00000000012</v>
      </c>
      <c r="W134" s="1">
        <v>37500.000000000007</v>
      </c>
      <c r="X134" s="1">
        <v>22863</v>
      </c>
      <c r="Y134" s="1">
        <v>14637.000000000007</v>
      </c>
      <c r="Z134" s="1">
        <v>3.8104999999999993E-2</v>
      </c>
      <c r="AA134" s="1">
        <v>0.36580800000000002</v>
      </c>
    </row>
    <row r="135" spans="12:27" hidden="1" x14ac:dyDescent="0.35">
      <c r="L135" s="1">
        <v>0.01</v>
      </c>
      <c r="M135" s="71">
        <v>600000.00000000012</v>
      </c>
      <c r="N135" s="73">
        <v>37500.000000000007</v>
      </c>
      <c r="O135" s="73">
        <v>24778.466666666667</v>
      </c>
      <c r="P135" s="74">
        <v>12721.53333333334</v>
      </c>
      <c r="Q135" s="14">
        <v>4.1297444444444435E-2</v>
      </c>
      <c r="R135" s="1">
        <v>0.3964554666666667</v>
      </c>
      <c r="U135" s="1">
        <v>0.01</v>
      </c>
      <c r="V135" s="1">
        <v>600000.00000000012</v>
      </c>
      <c r="W135" s="1">
        <v>37500.000000000007</v>
      </c>
      <c r="X135" s="1">
        <v>23863</v>
      </c>
      <c r="Y135" s="1">
        <v>13637.000000000007</v>
      </c>
      <c r="Z135" s="1">
        <v>3.9771666666666657E-2</v>
      </c>
      <c r="AA135" s="1">
        <v>0.38180799999999998</v>
      </c>
    </row>
    <row r="136" spans="12:27" hidden="1" x14ac:dyDescent="0.35">
      <c r="L136" s="1">
        <v>1.0999999999999999E-2</v>
      </c>
      <c r="M136" s="71">
        <v>600000.00000000012</v>
      </c>
      <c r="N136" s="73">
        <v>37500.000000000007</v>
      </c>
      <c r="O136" s="73">
        <v>25778.466666666667</v>
      </c>
      <c r="P136" s="74">
        <v>11721.53333333334</v>
      </c>
      <c r="Q136" s="14">
        <v>4.2964111111111106E-2</v>
      </c>
      <c r="R136" s="1">
        <v>0.41245546666666666</v>
      </c>
      <c r="U136" s="1">
        <v>1.0999999999999999E-2</v>
      </c>
      <c r="V136" s="1">
        <v>600000.00000000012</v>
      </c>
      <c r="W136" s="1">
        <v>37500.000000000007</v>
      </c>
      <c r="X136" s="1">
        <v>24863</v>
      </c>
      <c r="Y136" s="1">
        <v>12637.000000000007</v>
      </c>
      <c r="Z136" s="1">
        <v>4.1438333333333327E-2</v>
      </c>
      <c r="AA136" s="1">
        <v>0.39780799999999999</v>
      </c>
    </row>
    <row r="137" spans="12:27" hidden="1" x14ac:dyDescent="0.35">
      <c r="L137" s="1">
        <v>1.2E-2</v>
      </c>
      <c r="M137" s="71">
        <v>600000.00000000012</v>
      </c>
      <c r="N137" s="73">
        <v>37500.000000000007</v>
      </c>
      <c r="O137" s="73">
        <v>26778.466666666667</v>
      </c>
      <c r="P137" s="74">
        <v>10721.53333333334</v>
      </c>
      <c r="Q137" s="14">
        <v>4.4630777777777769E-2</v>
      </c>
      <c r="R137" s="1">
        <v>0.42845546666666667</v>
      </c>
      <c r="U137" s="1">
        <v>1.2E-2</v>
      </c>
      <c r="V137" s="1">
        <v>600000.00000000012</v>
      </c>
      <c r="W137" s="1">
        <v>37500.000000000007</v>
      </c>
      <c r="X137" s="1">
        <v>25863</v>
      </c>
      <c r="Y137" s="1">
        <v>11637.000000000007</v>
      </c>
      <c r="Z137" s="1">
        <v>4.3104999999999991E-2</v>
      </c>
      <c r="AA137" s="1">
        <v>0.41380800000000001</v>
      </c>
    </row>
    <row r="138" spans="12:27" hidden="1" x14ac:dyDescent="0.35">
      <c r="L138" s="1">
        <v>1.2999999999999999E-2</v>
      </c>
      <c r="M138" s="71">
        <v>600000.00000000012</v>
      </c>
      <c r="N138" s="73">
        <v>37500.000000000007</v>
      </c>
      <c r="O138" s="73">
        <v>27778.466666666667</v>
      </c>
      <c r="P138" s="74">
        <v>9721.5333333333401</v>
      </c>
      <c r="Q138" s="14">
        <v>4.629744444444444E-2</v>
      </c>
      <c r="R138" s="1">
        <v>0.44445546666666669</v>
      </c>
      <c r="U138" s="1">
        <v>1.2999999999999999E-2</v>
      </c>
      <c r="V138" s="1">
        <v>600000.00000000012</v>
      </c>
      <c r="W138" s="1">
        <v>37500.000000000007</v>
      </c>
      <c r="X138" s="1">
        <v>26863</v>
      </c>
      <c r="Y138" s="1">
        <v>10637.000000000007</v>
      </c>
      <c r="Z138" s="1">
        <v>4.4771666666666661E-2</v>
      </c>
      <c r="AA138" s="1">
        <v>0.42980800000000002</v>
      </c>
    </row>
    <row r="139" spans="12:27" hidden="1" x14ac:dyDescent="0.35">
      <c r="L139" s="1">
        <v>1.4E-2</v>
      </c>
      <c r="M139" s="71">
        <v>600000.00000000012</v>
      </c>
      <c r="N139" s="73">
        <v>37500.000000000007</v>
      </c>
      <c r="O139" s="73">
        <v>28778.466666666667</v>
      </c>
      <c r="P139" s="74">
        <v>8721.5333333333401</v>
      </c>
      <c r="Q139" s="14">
        <v>4.7964111111111103E-2</v>
      </c>
      <c r="R139" s="1">
        <v>0.4604554666666667</v>
      </c>
      <c r="U139" s="1">
        <v>1.4E-2</v>
      </c>
      <c r="V139" s="1">
        <v>600000.00000000012</v>
      </c>
      <c r="W139" s="1">
        <v>37500.000000000007</v>
      </c>
      <c r="X139" s="1">
        <v>27863</v>
      </c>
      <c r="Y139" s="1">
        <v>9637.0000000000073</v>
      </c>
      <c r="Z139" s="1">
        <v>4.6438333333333325E-2</v>
      </c>
      <c r="AA139" s="1">
        <v>0.44580799999999998</v>
      </c>
    </row>
    <row r="140" spans="12:27" hidden="1" x14ac:dyDescent="0.35">
      <c r="L140" s="1">
        <v>1.4999999999999999E-2</v>
      </c>
      <c r="M140" s="71">
        <v>600000.00000000012</v>
      </c>
      <c r="N140" s="73">
        <v>37500.000000000007</v>
      </c>
      <c r="O140" s="73">
        <v>29778.466666666667</v>
      </c>
      <c r="P140" s="74">
        <v>7721.5333333333401</v>
      </c>
      <c r="Q140" s="14">
        <v>4.9630777777777767E-2</v>
      </c>
      <c r="R140" s="1">
        <v>0.47645546666666666</v>
      </c>
      <c r="U140" s="1">
        <v>1.4999999999999999E-2</v>
      </c>
      <c r="V140" s="1">
        <v>600000.00000000012</v>
      </c>
      <c r="W140" s="1">
        <v>37500.000000000007</v>
      </c>
      <c r="X140" s="1">
        <v>28863</v>
      </c>
      <c r="Y140" s="1">
        <v>8637.0000000000073</v>
      </c>
      <c r="Z140" s="1">
        <v>4.8104999999999988E-2</v>
      </c>
      <c r="AA140" s="1">
        <v>0.461808</v>
      </c>
    </row>
    <row r="141" spans="12:27" hidden="1" x14ac:dyDescent="0.35">
      <c r="M141" s="4"/>
    </row>
    <row r="142" spans="12:27" hidden="1" x14ac:dyDescent="0.35">
      <c r="L142" s="1" t="s">
        <v>93</v>
      </c>
      <c r="M142" s="4"/>
    </row>
    <row r="143" spans="12:27" hidden="1" x14ac:dyDescent="0.35">
      <c r="M143" s="4"/>
    </row>
    <row r="144" spans="12:27" hidden="1" x14ac:dyDescent="0.35">
      <c r="M144" s="4"/>
    </row>
    <row r="145" spans="12:27" hidden="1" x14ac:dyDescent="0.35">
      <c r="M145" s="4"/>
    </row>
    <row r="146" spans="12:27" hidden="1" x14ac:dyDescent="0.35">
      <c r="M146" s="4"/>
    </row>
    <row r="147" spans="12:27" hidden="1" x14ac:dyDescent="0.35">
      <c r="M147" s="4"/>
    </row>
    <row r="148" spans="12:27" hidden="1" x14ac:dyDescent="0.35">
      <c r="M148" s="4"/>
    </row>
    <row r="149" spans="12:27" hidden="1" x14ac:dyDescent="0.35">
      <c r="M149" s="4"/>
    </row>
    <row r="150" spans="12:27" hidden="1" x14ac:dyDescent="0.35">
      <c r="M150" s="4"/>
    </row>
    <row r="151" spans="12:27" hidden="1" x14ac:dyDescent="0.35">
      <c r="M151" s="4"/>
    </row>
    <row r="152" spans="12:27" hidden="1" x14ac:dyDescent="0.35">
      <c r="M152" s="4"/>
    </row>
    <row r="153" spans="12:27" hidden="1" x14ac:dyDescent="0.35">
      <c r="L153" s="1" t="s">
        <v>92</v>
      </c>
      <c r="M153" s="4"/>
    </row>
    <row r="154" spans="12:27" hidden="1" x14ac:dyDescent="0.35">
      <c r="M154" s="4">
        <f>E5*E11</f>
        <v>600000.00000000012</v>
      </c>
      <c r="N154" s="75">
        <f>E85</f>
        <v>37500.000000000007</v>
      </c>
      <c r="O154" s="75">
        <f>E108</f>
        <v>20778.466666666667</v>
      </c>
      <c r="P154" s="72">
        <f>E116</f>
        <v>16721.53333333334</v>
      </c>
      <c r="Q154" s="92">
        <f>E117</f>
        <v>3.4630777777777774E-2</v>
      </c>
      <c r="R154" s="14">
        <f>E118</f>
        <v>0.3324554666666667</v>
      </c>
      <c r="V154" s="1">
        <f>E11*E5</f>
        <v>600000.00000000012</v>
      </c>
      <c r="W154" s="10">
        <f>E85</f>
        <v>37500.000000000007</v>
      </c>
      <c r="X154" s="10">
        <f>E108-E105</f>
        <v>19863</v>
      </c>
      <c r="Y154" s="10">
        <f>E112</f>
        <v>17637.000000000007</v>
      </c>
      <c r="Z154" s="159">
        <f>E113</f>
        <v>3.3104999999999996E-2</v>
      </c>
      <c r="AA154" s="2">
        <f>E114</f>
        <v>0.31780799999999998</v>
      </c>
    </row>
    <row r="155" spans="12:27" hidden="1" x14ac:dyDescent="0.35">
      <c r="L155" s="14">
        <v>0.25</v>
      </c>
      <c r="M155" s="4">
        <f t="dataTable" ref="M155:R169" dt2D="0" dtr="0" r1="E11" ca="1"/>
        <v>250000</v>
      </c>
      <c r="N155" s="75">
        <v>15625.000000000002</v>
      </c>
      <c r="O155" s="75">
        <v>20778.466666666667</v>
      </c>
      <c r="P155" s="74">
        <v>-5153.4666666666653</v>
      </c>
      <c r="Q155" s="92">
        <v>8.3113866666666675E-2</v>
      </c>
      <c r="R155" s="14">
        <v>0.3324554666666667</v>
      </c>
      <c r="U155" s="14">
        <v>0.25</v>
      </c>
      <c r="V155" s="1">
        <f t="dataTable" ref="V155:AA169" dt2D="0" dtr="0" r1="E11"/>
        <v>250000</v>
      </c>
      <c r="W155" s="1">
        <v>15625.000000000002</v>
      </c>
      <c r="X155" s="1">
        <v>19863</v>
      </c>
      <c r="Y155" s="1">
        <v>-4237.9999999999982</v>
      </c>
      <c r="Z155" s="1">
        <v>7.9451999999999995E-2</v>
      </c>
      <c r="AA155" s="1">
        <v>0.31780799999999998</v>
      </c>
    </row>
    <row r="156" spans="12:27" hidden="1" x14ac:dyDescent="0.35">
      <c r="L156" s="14">
        <v>0.3</v>
      </c>
      <c r="M156" s="4">
        <v>300000</v>
      </c>
      <c r="N156" s="75">
        <v>18750</v>
      </c>
      <c r="O156" s="75">
        <v>20778.466666666667</v>
      </c>
      <c r="P156" s="74">
        <v>-2028.4666666666672</v>
      </c>
      <c r="Q156" s="92">
        <v>6.9261555555555562E-2</v>
      </c>
      <c r="R156" s="14">
        <v>0.3324554666666667</v>
      </c>
      <c r="U156" s="14">
        <v>0.3</v>
      </c>
      <c r="V156" s="1">
        <v>300000</v>
      </c>
      <c r="W156" s="1">
        <v>18750</v>
      </c>
      <c r="X156" s="1">
        <v>19863</v>
      </c>
      <c r="Y156" s="1">
        <v>-1113</v>
      </c>
      <c r="Z156" s="1">
        <v>6.6210000000000005E-2</v>
      </c>
      <c r="AA156" s="1">
        <v>0.31780799999999998</v>
      </c>
    </row>
    <row r="157" spans="12:27" hidden="1" x14ac:dyDescent="0.35">
      <c r="L157" s="14">
        <v>0.35</v>
      </c>
      <c r="M157" s="4">
        <v>350000</v>
      </c>
      <c r="N157" s="75">
        <v>21875</v>
      </c>
      <c r="O157" s="75">
        <v>20778.466666666667</v>
      </c>
      <c r="P157" s="74">
        <v>1096.5333333333328</v>
      </c>
      <c r="Q157" s="92">
        <v>5.9367047619047618E-2</v>
      </c>
      <c r="R157" s="14">
        <v>0.3324554666666667</v>
      </c>
      <c r="U157" s="14">
        <v>0.35</v>
      </c>
      <c r="V157" s="1">
        <v>350000</v>
      </c>
      <c r="W157" s="1">
        <v>21875</v>
      </c>
      <c r="X157" s="1">
        <v>19863</v>
      </c>
      <c r="Y157" s="1">
        <v>2012</v>
      </c>
      <c r="Z157" s="1">
        <v>5.6751428571428571E-2</v>
      </c>
      <c r="AA157" s="1">
        <v>0.31780799999999998</v>
      </c>
    </row>
    <row r="158" spans="12:27" hidden="1" x14ac:dyDescent="0.35">
      <c r="L158" s="14">
        <v>0.4</v>
      </c>
      <c r="M158" s="4">
        <v>400000</v>
      </c>
      <c r="N158" s="75">
        <v>25000.000000000004</v>
      </c>
      <c r="O158" s="75">
        <v>20778.466666666667</v>
      </c>
      <c r="P158" s="74">
        <v>4221.5333333333365</v>
      </c>
      <c r="Q158" s="92">
        <v>5.1946166666666668E-2</v>
      </c>
      <c r="R158" s="14">
        <v>0.3324554666666667</v>
      </c>
      <c r="U158" s="14">
        <v>0.4</v>
      </c>
      <c r="V158" s="1">
        <v>400000</v>
      </c>
      <c r="W158" s="1">
        <v>25000.000000000004</v>
      </c>
      <c r="X158" s="1">
        <v>19863</v>
      </c>
      <c r="Y158" s="1">
        <v>5137.0000000000036</v>
      </c>
      <c r="Z158" s="1">
        <v>4.96575E-2</v>
      </c>
      <c r="AA158" s="1">
        <v>0.31780799999999998</v>
      </c>
    </row>
    <row r="159" spans="12:27" hidden="1" x14ac:dyDescent="0.35">
      <c r="L159" s="14">
        <v>0.45</v>
      </c>
      <c r="M159" s="4">
        <v>450000</v>
      </c>
      <c r="N159" s="75">
        <v>28125.000000000004</v>
      </c>
      <c r="O159" s="75">
        <v>20778.466666666667</v>
      </c>
      <c r="P159" s="74">
        <v>7346.5333333333365</v>
      </c>
      <c r="Q159" s="92">
        <v>4.6174370370370373E-2</v>
      </c>
      <c r="R159" s="14">
        <v>0.3324554666666667</v>
      </c>
      <c r="U159" s="14">
        <v>0.45</v>
      </c>
      <c r="V159" s="1">
        <v>450000</v>
      </c>
      <c r="W159" s="1">
        <v>28125.000000000004</v>
      </c>
      <c r="X159" s="1">
        <v>19863</v>
      </c>
      <c r="Y159" s="1">
        <v>8262.0000000000036</v>
      </c>
      <c r="Z159" s="1">
        <v>4.4139999999999999E-2</v>
      </c>
      <c r="AA159" s="1">
        <v>0.31780799999999998</v>
      </c>
    </row>
    <row r="160" spans="12:27" hidden="1" x14ac:dyDescent="0.35">
      <c r="L160" s="14">
        <v>0.5</v>
      </c>
      <c r="M160" s="4">
        <v>500000</v>
      </c>
      <c r="N160" s="75">
        <v>31250.000000000004</v>
      </c>
      <c r="O160" s="75">
        <v>20778.466666666667</v>
      </c>
      <c r="P160" s="74">
        <v>10471.533333333336</v>
      </c>
      <c r="Q160" s="92">
        <v>4.1556933333333337E-2</v>
      </c>
      <c r="R160" s="14">
        <v>0.3324554666666667</v>
      </c>
      <c r="U160" s="14">
        <v>0.5</v>
      </c>
      <c r="V160" s="1">
        <v>500000</v>
      </c>
      <c r="W160" s="1">
        <v>31250.000000000004</v>
      </c>
      <c r="X160" s="1">
        <v>19863</v>
      </c>
      <c r="Y160" s="1">
        <v>11387.000000000004</v>
      </c>
      <c r="Z160" s="1">
        <v>3.9725999999999997E-2</v>
      </c>
      <c r="AA160" s="1">
        <v>0.31780799999999998</v>
      </c>
    </row>
    <row r="161" spans="12:27" hidden="1" x14ac:dyDescent="0.35">
      <c r="L161" s="14">
        <v>0.55000000000000004</v>
      </c>
      <c r="M161" s="4">
        <v>550000</v>
      </c>
      <c r="N161" s="75">
        <v>34375.000000000007</v>
      </c>
      <c r="O161" s="75">
        <v>20778.466666666667</v>
      </c>
      <c r="P161" s="74">
        <v>13596.53333333334</v>
      </c>
      <c r="Q161" s="92">
        <v>3.7779030303030307E-2</v>
      </c>
      <c r="R161" s="14">
        <v>0.3324554666666667</v>
      </c>
      <c r="U161" s="14">
        <v>0.55000000000000004</v>
      </c>
      <c r="V161" s="1">
        <v>550000</v>
      </c>
      <c r="W161" s="1">
        <v>34375.000000000007</v>
      </c>
      <c r="X161" s="1">
        <v>19863</v>
      </c>
      <c r="Y161" s="1">
        <v>14512.000000000007</v>
      </c>
      <c r="Z161" s="1">
        <v>3.6114545454545455E-2</v>
      </c>
      <c r="AA161" s="1">
        <v>0.31780799999999998</v>
      </c>
    </row>
    <row r="162" spans="12:27" hidden="1" x14ac:dyDescent="0.35">
      <c r="L162" s="14">
        <v>0.6</v>
      </c>
      <c r="M162" s="4">
        <v>600000</v>
      </c>
      <c r="N162" s="75">
        <v>37500</v>
      </c>
      <c r="O162" s="75">
        <v>20778.466666666667</v>
      </c>
      <c r="P162" s="74">
        <v>16721.533333333333</v>
      </c>
      <c r="Q162" s="92">
        <v>3.4630777777777781E-2</v>
      </c>
      <c r="R162" s="14">
        <v>0.3324554666666667</v>
      </c>
      <c r="U162" s="14">
        <v>0.6</v>
      </c>
      <c r="V162" s="1">
        <v>600000</v>
      </c>
      <c r="W162" s="1">
        <v>37500</v>
      </c>
      <c r="X162" s="1">
        <v>19863</v>
      </c>
      <c r="Y162" s="1">
        <v>17637</v>
      </c>
      <c r="Z162" s="1">
        <v>3.3105000000000002E-2</v>
      </c>
      <c r="AA162" s="1">
        <v>0.31780799999999998</v>
      </c>
    </row>
    <row r="163" spans="12:27" hidden="1" x14ac:dyDescent="0.35">
      <c r="L163" s="14">
        <v>0.65</v>
      </c>
      <c r="M163" s="4">
        <v>650000</v>
      </c>
      <c r="N163" s="75">
        <v>40625</v>
      </c>
      <c r="O163" s="75">
        <v>20778.466666666667</v>
      </c>
      <c r="P163" s="74">
        <v>19846.533333333333</v>
      </c>
      <c r="Q163" s="92">
        <v>3.1966871794871794E-2</v>
      </c>
      <c r="R163" s="14">
        <v>0.3324554666666667</v>
      </c>
      <c r="U163" s="14">
        <v>0.65</v>
      </c>
      <c r="V163" s="1">
        <v>650000</v>
      </c>
      <c r="W163" s="1">
        <v>40625</v>
      </c>
      <c r="X163" s="1">
        <v>19863</v>
      </c>
      <c r="Y163" s="1">
        <v>20762</v>
      </c>
      <c r="Z163" s="1">
        <v>3.0558461538461538E-2</v>
      </c>
      <c r="AA163" s="1">
        <v>0.31780799999999998</v>
      </c>
    </row>
    <row r="164" spans="12:27" hidden="1" x14ac:dyDescent="0.35">
      <c r="L164" s="14">
        <v>0.7</v>
      </c>
      <c r="M164" s="4">
        <v>700000</v>
      </c>
      <c r="N164" s="75">
        <v>43750</v>
      </c>
      <c r="O164" s="75">
        <v>20778.466666666667</v>
      </c>
      <c r="P164" s="74">
        <v>22971.533333333333</v>
      </c>
      <c r="Q164" s="92">
        <v>2.9683523809523809E-2</v>
      </c>
      <c r="R164" s="14">
        <v>0.3324554666666667</v>
      </c>
      <c r="U164" s="14">
        <v>0.7</v>
      </c>
      <c r="V164" s="1">
        <v>700000</v>
      </c>
      <c r="W164" s="1">
        <v>43750</v>
      </c>
      <c r="X164" s="1">
        <v>19863</v>
      </c>
      <c r="Y164" s="1">
        <v>23887</v>
      </c>
      <c r="Z164" s="1">
        <v>2.8375714285714285E-2</v>
      </c>
      <c r="AA164" s="1">
        <v>0.31780799999999998</v>
      </c>
    </row>
    <row r="165" spans="12:27" hidden="1" x14ac:dyDescent="0.35">
      <c r="L165" s="14">
        <v>0.75</v>
      </c>
      <c r="M165" s="4">
        <v>750000</v>
      </c>
      <c r="N165" s="75">
        <v>46875</v>
      </c>
      <c r="O165" s="75">
        <v>20778.466666666667</v>
      </c>
      <c r="P165" s="74">
        <v>26096.533333333333</v>
      </c>
      <c r="Q165" s="92">
        <v>2.7704622222222221E-2</v>
      </c>
      <c r="R165" s="14">
        <v>0.3324554666666667</v>
      </c>
      <c r="U165" s="14">
        <v>0.75</v>
      </c>
      <c r="V165" s="1">
        <v>750000</v>
      </c>
      <c r="W165" s="1">
        <v>46875</v>
      </c>
      <c r="X165" s="1">
        <v>19863</v>
      </c>
      <c r="Y165" s="1">
        <v>27012</v>
      </c>
      <c r="Z165" s="1">
        <v>2.6484000000000001E-2</v>
      </c>
      <c r="AA165" s="1">
        <v>0.31780799999999998</v>
      </c>
    </row>
    <row r="166" spans="12:27" hidden="1" x14ac:dyDescent="0.35">
      <c r="L166" s="14">
        <v>0.8</v>
      </c>
      <c r="M166" s="4">
        <v>800000</v>
      </c>
      <c r="N166" s="75">
        <v>50000.000000000007</v>
      </c>
      <c r="O166" s="75">
        <v>20778.466666666667</v>
      </c>
      <c r="P166" s="74">
        <v>29221.53333333334</v>
      </c>
      <c r="Q166" s="92">
        <v>2.5973083333333334E-2</v>
      </c>
      <c r="R166" s="14">
        <v>0.3324554666666667</v>
      </c>
      <c r="U166" s="14">
        <v>0.8</v>
      </c>
      <c r="V166" s="1">
        <v>800000</v>
      </c>
      <c r="W166" s="1">
        <v>50000.000000000007</v>
      </c>
      <c r="X166" s="1">
        <v>19863</v>
      </c>
      <c r="Y166" s="1">
        <v>30137.000000000007</v>
      </c>
      <c r="Z166" s="1">
        <v>2.482875E-2</v>
      </c>
      <c r="AA166" s="1">
        <v>0.31780799999999998</v>
      </c>
    </row>
    <row r="167" spans="12:27" hidden="1" x14ac:dyDescent="0.35">
      <c r="L167" s="14">
        <v>0.85</v>
      </c>
      <c r="M167" s="4">
        <v>850000</v>
      </c>
      <c r="N167" s="75">
        <v>53125.000000000007</v>
      </c>
      <c r="O167" s="75">
        <v>20778.466666666667</v>
      </c>
      <c r="P167" s="74">
        <v>32346.53333333334</v>
      </c>
      <c r="Q167" s="92">
        <v>2.4445254901960783E-2</v>
      </c>
      <c r="R167" s="14">
        <v>0.3324554666666667</v>
      </c>
      <c r="U167" s="14">
        <v>0.85</v>
      </c>
      <c r="V167" s="1">
        <v>850000</v>
      </c>
      <c r="W167" s="1">
        <v>53125.000000000007</v>
      </c>
      <c r="X167" s="1">
        <v>19863</v>
      </c>
      <c r="Y167" s="1">
        <v>33262.000000000007</v>
      </c>
      <c r="Z167" s="1">
        <v>2.3368235294117648E-2</v>
      </c>
      <c r="AA167" s="1">
        <v>0.31780799999999998</v>
      </c>
    </row>
    <row r="168" spans="12:27" hidden="1" x14ac:dyDescent="0.35">
      <c r="L168" s="14">
        <v>0.9</v>
      </c>
      <c r="M168" s="4">
        <v>900000</v>
      </c>
      <c r="N168" s="75">
        <v>56250.000000000007</v>
      </c>
      <c r="O168" s="75">
        <v>20778.466666666667</v>
      </c>
      <c r="P168" s="74">
        <v>35471.53333333334</v>
      </c>
      <c r="Q168" s="92">
        <v>2.3087185185185186E-2</v>
      </c>
      <c r="R168" s="14">
        <v>0.3324554666666667</v>
      </c>
      <c r="U168" s="14">
        <v>0.9</v>
      </c>
      <c r="V168" s="1">
        <v>900000</v>
      </c>
      <c r="W168" s="1">
        <v>56250.000000000007</v>
      </c>
      <c r="X168" s="1">
        <v>19863</v>
      </c>
      <c r="Y168" s="1">
        <v>36387.000000000007</v>
      </c>
      <c r="Z168" s="1">
        <v>2.2069999999999999E-2</v>
      </c>
      <c r="AA168" s="1">
        <v>0.31780799999999998</v>
      </c>
    </row>
    <row r="169" spans="12:27" hidden="1" x14ac:dyDescent="0.35">
      <c r="L169" s="14">
        <v>0.95</v>
      </c>
      <c r="M169" s="4">
        <v>950000</v>
      </c>
      <c r="N169" s="75">
        <v>59375.000000000007</v>
      </c>
      <c r="O169" s="75">
        <v>20778.466666666667</v>
      </c>
      <c r="P169" s="74">
        <v>38596.53333333334</v>
      </c>
      <c r="Q169" s="92">
        <v>2.1872070175438598E-2</v>
      </c>
      <c r="R169" s="14">
        <v>0.3324554666666667</v>
      </c>
      <c r="U169" s="14">
        <v>0.95</v>
      </c>
      <c r="V169" s="1">
        <v>950000</v>
      </c>
      <c r="W169" s="1">
        <v>59375.000000000007</v>
      </c>
      <c r="X169" s="1">
        <v>19863</v>
      </c>
      <c r="Y169" s="1">
        <v>39512.000000000007</v>
      </c>
      <c r="Z169" s="1">
        <v>2.090842105263158E-2</v>
      </c>
      <c r="AA169" s="1">
        <v>0.31780799999999998</v>
      </c>
    </row>
  </sheetData>
  <sheetProtection algorithmName="SHA-512" hashValue="PsKgiB5qBxNE4CXmbAWxKUWcQavtHpA76BTSNoRNruBt0wEiufesnFZZna5/MMxOZ/hwSIaaUSfVTZYkogs1AA==" saltValue="QcExijpTT9C5mghKQCLydQ==" spinCount="100000" sheet="1" objects="1" scenarios="1"/>
  <scenarios current="0" show="0" sqref="D101 D103 D105 D106 B74">
    <scenario name="$0.06/$0.04/$0.03" locked="1" count="3" user="Thomas Anderson" comment="Created by Thomas Anderson on 11/5/2013_x000a_Modified by Thomas Anderson on 11/5/2013">
      <inputCells r="H7" val="0.06" numFmtId="164"/>
      <inputCells r="H8" val="0.04" numFmtId="164"/>
      <inputCells r="H9" val="0.03" numFmtId="167"/>
    </scenario>
    <scenario name="$0.07/$0.05/$0.035" locked="1" count="3" user="Thomas Anderson" comment="Created by Thomas Anderson on 11/5/2013_x000a_Modified by Thomas Anderson on 11/5/2013">
      <inputCells r="H7" val="0.07" numFmtId="164"/>
      <inputCells r="H8" val="0.05" numFmtId="164"/>
      <inputCells r="H9" val="0.035" numFmtId="167"/>
    </scenario>
    <scenario name="$0.08/$0.06/$0.04" locked="1" count="3" user="Thomas Anderson" comment="Created by Thomas Anderson on 11/5/2013_x000a_Modified by Thomas Anderson on 11/5/2013">
      <inputCells r="H7" val="0.08" numFmtId="164"/>
      <inputCells r="H8" val="0.06" numFmtId="164"/>
      <inputCells r="H9" val="0.04" numFmtId="167"/>
    </scenario>
    <scenario name="$0.09/$0.07/$0.045" locked="1" count="3" user="Thomas Anderson" comment="Created by Thomas Anderson on 11/5/2013_x000a_Modified by Thomas Anderson on 11/5/2013">
      <inputCells r="H7" val="0.09" numFmtId="164"/>
      <inputCells r="H8" val="0.07" numFmtId="164"/>
      <inputCells r="H9" val="0.045" numFmtId="167"/>
    </scenario>
    <scenario name="$0.10/$0.08/$0.05" locked="1" count="3" user="Thomas Anderson" comment="Created by Thomas Anderson on 11/5/2013">
      <inputCells r="H7" val="0.1" numFmtId="164"/>
      <inputCells r="H8" val="0.08" numFmtId="164"/>
      <inputCells r="H9" val="0.05" numFmtId="167"/>
    </scenario>
    <scenario name="$0.11/$.09/$0.055" locked="1" count="3" user="Thomas Anderson" comment="Created by Thomas Anderson on 11/5/2013_x000a_Modified by Thomas Anderson on 11/5/2013">
      <inputCells r="H7" val="0.11" numFmtId="164"/>
      <inputCells r="H8" val="0.09" numFmtId="164"/>
      <inputCells r="H9" val="0.055" numFmtId="167"/>
    </scenario>
    <scenario name="$0.05/$0.03/$0.025" locked="1" count="3" user="Thomas Anderson" comment="Created by Thomas Anderson on 11/5/2013">
      <inputCells r="H7" val="0.05" numFmtId="164"/>
      <inputCells r="H8" val="0.03" numFmtId="164"/>
      <inputCells r="H9" val="0.025" numFmtId="167"/>
    </scenario>
    <scenario name="$0.04/$0.02/$0.02" locked="1" count="3" user="Thomas Anderson" comment="Created by Thomas Anderson on 11/5/2013">
      <inputCells r="H7" val="0.04" numFmtId="164"/>
      <inputCells r="H8" val="0.02" numFmtId="164"/>
      <inputCells r="H9" val="0.02" numFmtId="167"/>
    </scenario>
  </scenarios>
  <mergeCells count="21">
    <mergeCell ref="A1:J1"/>
    <mergeCell ref="A20:J20"/>
    <mergeCell ref="C5:D5"/>
    <mergeCell ref="C6:D6"/>
    <mergeCell ref="A2:J2"/>
    <mergeCell ref="C17:D17"/>
    <mergeCell ref="C18:D18"/>
    <mergeCell ref="C7:D7"/>
    <mergeCell ref="C8:D8"/>
    <mergeCell ref="C9:D9"/>
    <mergeCell ref="A31:H31"/>
    <mergeCell ref="A54:F54"/>
    <mergeCell ref="A79:F79"/>
    <mergeCell ref="C10:D10"/>
    <mergeCell ref="C11:D11"/>
    <mergeCell ref="C12:E12"/>
    <mergeCell ref="C13:D13"/>
    <mergeCell ref="C14:D14"/>
    <mergeCell ref="C15:D15"/>
    <mergeCell ref="C16:D16"/>
    <mergeCell ref="A66:H66"/>
  </mergeCells>
  <phoneticPr fontId="2" type="noConversion"/>
  <dataValidations count="4">
    <dataValidation type="whole" operator="greaterThan" allowBlank="1" showInputMessage="1" showErrorMessage="1" sqref="C71:C75 B69:B75 D37:D42 E41:H41 D34:D35 E5 D44:D48 E47:H48 D24 C24:C28 B22:B28">
      <formula1>0</formula1>
    </dataValidation>
    <dataValidation type="whole" allowBlank="1" showInputMessage="1" showErrorMessage="1" sqref="D25:D28">
      <formula1>0</formula1>
      <formula2>1</formula2>
    </dataValidation>
    <dataValidation type="decimal" operator="greaterThan" allowBlank="1" showInputMessage="1" showErrorMessage="1" sqref="H7:H9 E9:E11 E6:E7 H5">
      <formula1>0</formula1>
    </dataValidation>
    <dataValidation type="decimal" operator="greaterThanOrEqual" allowBlank="1" showInputMessage="1" showErrorMessage="1" sqref="E13:E15">
      <formula1>0</formula1>
    </dataValidation>
  </dataValidations>
  <pageMargins left="0.5" right="0.5" top="1" bottom="1" header="0.5" footer="0.5"/>
  <pageSetup scale="73" orientation="landscape" horizontalDpi="4294967292" verticalDpi="4294967292" r:id="rId1"/>
  <headerFooter alignWithMargins="0"/>
  <rowBreaks count="3" manualBreakCount="3">
    <brk id="30" max="16383" man="1"/>
    <brk id="53" max="16383" man="1"/>
    <brk id="78" max="16383" man="1"/>
  </rowBreaks>
  <colBreaks count="1" manualBreakCount="1">
    <brk id="12"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0"/>
  <sheetViews>
    <sheetView zoomScaleNormal="100" workbookViewId="0">
      <selection activeCell="F2" sqref="F2"/>
    </sheetView>
  </sheetViews>
  <sheetFormatPr defaultColWidth="11" defaultRowHeight="15.5" x14ac:dyDescent="0.35"/>
  <cols>
    <col min="1" max="1" width="17.5" style="160" bestFit="1" customWidth="1"/>
    <col min="2" max="2" width="18.5" bestFit="1" customWidth="1"/>
    <col min="3" max="3" width="12.08203125" bestFit="1" customWidth="1"/>
    <col min="4" max="4" width="9.33203125" bestFit="1" customWidth="1"/>
    <col min="5" max="5" width="16.5" bestFit="1" customWidth="1"/>
    <col min="6" max="6" width="15.83203125" bestFit="1" customWidth="1"/>
    <col min="7" max="7" width="16.58203125" bestFit="1" customWidth="1"/>
  </cols>
  <sheetData>
    <row r="1" spans="1:7" ht="21" x14ac:dyDescent="0.5">
      <c r="A1" s="254" t="s">
        <v>126</v>
      </c>
      <c r="B1" s="254"/>
      <c r="C1" s="254"/>
      <c r="D1" s="254"/>
      <c r="E1" s="254"/>
      <c r="F1" s="254"/>
      <c r="G1" s="254"/>
    </row>
    <row r="2" spans="1:7" ht="18.5" x14ac:dyDescent="0.45">
      <c r="A2" s="143"/>
      <c r="B2" s="143"/>
      <c r="C2" s="143"/>
      <c r="D2" s="143"/>
      <c r="E2" s="143"/>
      <c r="F2" s="143"/>
      <c r="G2" s="143"/>
    </row>
    <row r="3" spans="1:7" ht="18.5" x14ac:dyDescent="0.45">
      <c r="A3" s="255" t="s">
        <v>94</v>
      </c>
      <c r="B3" s="255"/>
      <c r="C3" s="255"/>
      <c r="D3" s="255"/>
      <c r="E3" s="255"/>
      <c r="F3" s="255"/>
      <c r="G3" s="255"/>
    </row>
    <row r="4" spans="1:7" s="185" customFormat="1" ht="29.5" thickBot="1" x14ac:dyDescent="0.4">
      <c r="A4" s="122" t="s">
        <v>46</v>
      </c>
      <c r="B4" s="184" t="s">
        <v>89</v>
      </c>
      <c r="C4" s="122" t="s">
        <v>106</v>
      </c>
      <c r="D4" s="122" t="s">
        <v>123</v>
      </c>
      <c r="E4" s="122" t="s">
        <v>125</v>
      </c>
      <c r="F4" s="122" t="s">
        <v>124</v>
      </c>
      <c r="G4" s="122" t="s">
        <v>134</v>
      </c>
    </row>
    <row r="5" spans="1:7" ht="15" hidden="1" customHeight="1" x14ac:dyDescent="0.35">
      <c r="A5" s="3">
        <f>Budget!U126</f>
        <v>0</v>
      </c>
      <c r="B5" s="1">
        <f>Budget!V126</f>
        <v>600000.00000000012</v>
      </c>
      <c r="C5" s="1">
        <f>Budget!W126</f>
        <v>37500.000000000007</v>
      </c>
      <c r="D5" s="1">
        <f>Budget!X126</f>
        <v>19863</v>
      </c>
      <c r="E5" s="1">
        <f>Budget!Y126</f>
        <v>17637.000000000007</v>
      </c>
      <c r="F5" s="1">
        <f>Budget!Z126</f>
        <v>3.3104999999999996E-2</v>
      </c>
      <c r="G5" s="1">
        <f>Budget!AA126</f>
        <v>0.31780799999999998</v>
      </c>
    </row>
    <row r="6" spans="1:7" x14ac:dyDescent="0.35">
      <c r="A6" s="99">
        <f>Budget!U127</f>
        <v>2E-3</v>
      </c>
      <c r="B6" s="100">
        <f>Budget!V127</f>
        <v>600000.00000000012</v>
      </c>
      <c r="C6" s="29">
        <f>Budget!W127</f>
        <v>37500.000000000007</v>
      </c>
      <c r="D6" s="29">
        <f>Budget!X127</f>
        <v>15863</v>
      </c>
      <c r="E6" s="29">
        <f>Budget!Y127</f>
        <v>21637.000000000007</v>
      </c>
      <c r="F6" s="89">
        <f>Budget!Z127</f>
        <v>2.6438333333333328E-2</v>
      </c>
      <c r="G6" s="101">
        <f>Budget!AA127</f>
        <v>0.25380799999999998</v>
      </c>
    </row>
    <row r="7" spans="1:7" x14ac:dyDescent="0.35">
      <c r="A7" s="99">
        <f>Budget!U128</f>
        <v>3.0000000000000001E-3</v>
      </c>
      <c r="B7" s="100">
        <f>Budget!V128</f>
        <v>600000.00000000012</v>
      </c>
      <c r="C7" s="29">
        <f>Budget!W128</f>
        <v>37500.000000000007</v>
      </c>
      <c r="D7" s="29">
        <f>Budget!X128</f>
        <v>16863</v>
      </c>
      <c r="E7" s="29">
        <f>Budget!Y128</f>
        <v>20637.000000000007</v>
      </c>
      <c r="F7" s="89">
        <f>Budget!Z128</f>
        <v>2.8104999999999995E-2</v>
      </c>
      <c r="G7" s="101">
        <f>Budget!AA128</f>
        <v>0.26980799999999999</v>
      </c>
    </row>
    <row r="8" spans="1:7" x14ac:dyDescent="0.35">
      <c r="A8" s="99">
        <f>Budget!U129</f>
        <v>4.0000000000000001E-3</v>
      </c>
      <c r="B8" s="100">
        <f>Budget!V129</f>
        <v>600000.00000000012</v>
      </c>
      <c r="C8" s="29">
        <f>Budget!W129</f>
        <v>37500.000000000007</v>
      </c>
      <c r="D8" s="29">
        <f>Budget!X129</f>
        <v>17863</v>
      </c>
      <c r="E8" s="29">
        <f>Budget!Y129</f>
        <v>19637.000000000007</v>
      </c>
      <c r="F8" s="89">
        <f>Budget!Z129</f>
        <v>2.9771666666666662E-2</v>
      </c>
      <c r="G8" s="101">
        <f>Budget!AA129</f>
        <v>0.28580800000000001</v>
      </c>
    </row>
    <row r="9" spans="1:7" x14ac:dyDescent="0.35">
      <c r="A9" s="99">
        <f>Budget!U130</f>
        <v>5.0000000000000001E-3</v>
      </c>
      <c r="B9" s="100">
        <f>Budget!V130</f>
        <v>600000.00000000012</v>
      </c>
      <c r="C9" s="29">
        <f>Budget!W130</f>
        <v>37500.000000000007</v>
      </c>
      <c r="D9" s="29">
        <f>Budget!X130</f>
        <v>18863</v>
      </c>
      <c r="E9" s="29">
        <f>Budget!Y130</f>
        <v>18637.000000000007</v>
      </c>
      <c r="F9" s="89">
        <f>Budget!Z130</f>
        <v>3.1438333333333325E-2</v>
      </c>
      <c r="G9" s="101">
        <f>Budget!AA130</f>
        <v>0.30180800000000002</v>
      </c>
    </row>
    <row r="10" spans="1:7" x14ac:dyDescent="0.35">
      <c r="A10" s="99">
        <f>Budget!U131</f>
        <v>6.0000000000000001E-3</v>
      </c>
      <c r="B10" s="100">
        <f>Budget!V131</f>
        <v>600000.00000000012</v>
      </c>
      <c r="C10" s="29">
        <f>Budget!W131</f>
        <v>37500.000000000007</v>
      </c>
      <c r="D10" s="29">
        <f>Budget!X131</f>
        <v>19863</v>
      </c>
      <c r="E10" s="29">
        <f>Budget!Y131</f>
        <v>17637.000000000007</v>
      </c>
      <c r="F10" s="89">
        <f>Budget!Z131</f>
        <v>3.3104999999999996E-2</v>
      </c>
      <c r="G10" s="101">
        <f>Budget!AA131</f>
        <v>0.31780799999999998</v>
      </c>
    </row>
    <row r="11" spans="1:7" x14ac:dyDescent="0.35">
      <c r="A11" s="99">
        <f>Budget!U132</f>
        <v>7.0000000000000001E-3</v>
      </c>
      <c r="B11" s="100">
        <f>Budget!V132</f>
        <v>600000.00000000012</v>
      </c>
      <c r="C11" s="29">
        <f>Budget!W132</f>
        <v>37500.000000000007</v>
      </c>
      <c r="D11" s="29">
        <f>Budget!X132</f>
        <v>20863</v>
      </c>
      <c r="E11" s="29">
        <f>Budget!Y132</f>
        <v>16637.000000000007</v>
      </c>
      <c r="F11" s="89">
        <f>Budget!Z132</f>
        <v>3.4771666666666659E-2</v>
      </c>
      <c r="G11" s="101">
        <f>Budget!AA132</f>
        <v>0.33380799999999999</v>
      </c>
    </row>
    <row r="12" spans="1:7" x14ac:dyDescent="0.35">
      <c r="A12" s="99">
        <f>Budget!U133</f>
        <v>8.0000000000000002E-3</v>
      </c>
      <c r="B12" s="100">
        <f>Budget!V133</f>
        <v>600000.00000000012</v>
      </c>
      <c r="C12" s="29">
        <f>Budget!W133</f>
        <v>37500.000000000007</v>
      </c>
      <c r="D12" s="29">
        <f>Budget!X133</f>
        <v>21863</v>
      </c>
      <c r="E12" s="29">
        <f>Budget!Y133</f>
        <v>15637.000000000007</v>
      </c>
      <c r="F12" s="89">
        <f>Budget!Z133</f>
        <v>3.643833333333333E-2</v>
      </c>
      <c r="G12" s="101">
        <f>Budget!AA133</f>
        <v>0.34980800000000001</v>
      </c>
    </row>
    <row r="13" spans="1:7" x14ac:dyDescent="0.35">
      <c r="A13" s="99">
        <f>Budget!U134</f>
        <v>8.9999999999999993E-3</v>
      </c>
      <c r="B13" s="100">
        <f>Budget!V134</f>
        <v>600000.00000000012</v>
      </c>
      <c r="C13" s="29">
        <f>Budget!W134</f>
        <v>37500.000000000007</v>
      </c>
      <c r="D13" s="29">
        <f>Budget!X134</f>
        <v>22863</v>
      </c>
      <c r="E13" s="29">
        <f>Budget!Y134</f>
        <v>14637.000000000007</v>
      </c>
      <c r="F13" s="89">
        <f>Budget!Z134</f>
        <v>3.8104999999999993E-2</v>
      </c>
      <c r="G13" s="101">
        <f>Budget!AA134</f>
        <v>0.36580800000000002</v>
      </c>
    </row>
    <row r="14" spans="1:7" x14ac:dyDescent="0.35">
      <c r="A14" s="99">
        <f>Budget!U135</f>
        <v>0.01</v>
      </c>
      <c r="B14" s="100">
        <f>Budget!V135</f>
        <v>600000.00000000012</v>
      </c>
      <c r="C14" s="29">
        <f>Budget!W135</f>
        <v>37500.000000000007</v>
      </c>
      <c r="D14" s="29">
        <f>Budget!X135</f>
        <v>23863</v>
      </c>
      <c r="E14" s="29">
        <f>Budget!Y135</f>
        <v>13637.000000000007</v>
      </c>
      <c r="F14" s="89">
        <f>Budget!Z135</f>
        <v>3.9771666666666657E-2</v>
      </c>
      <c r="G14" s="101">
        <f>Budget!AA135</f>
        <v>0.38180799999999998</v>
      </c>
    </row>
    <row r="15" spans="1:7" x14ac:dyDescent="0.35">
      <c r="A15" s="99">
        <f>Budget!U136</f>
        <v>1.0999999999999999E-2</v>
      </c>
      <c r="B15" s="100">
        <f>Budget!V136</f>
        <v>600000.00000000012</v>
      </c>
      <c r="C15" s="29">
        <f>Budget!W136</f>
        <v>37500.000000000007</v>
      </c>
      <c r="D15" s="29">
        <f>Budget!X136</f>
        <v>24863</v>
      </c>
      <c r="E15" s="29">
        <f>Budget!Y136</f>
        <v>12637.000000000007</v>
      </c>
      <c r="F15" s="89">
        <f>Budget!Z136</f>
        <v>4.1438333333333327E-2</v>
      </c>
      <c r="G15" s="101">
        <f>Budget!AA136</f>
        <v>0.39780799999999999</v>
      </c>
    </row>
    <row r="16" spans="1:7" x14ac:dyDescent="0.35">
      <c r="A16" s="99">
        <f>Budget!U137</f>
        <v>1.2E-2</v>
      </c>
      <c r="B16" s="100">
        <f>Budget!V137</f>
        <v>600000.00000000012</v>
      </c>
      <c r="C16" s="29">
        <f>Budget!W137</f>
        <v>37500.000000000007</v>
      </c>
      <c r="D16" s="29">
        <f>Budget!X137</f>
        <v>25863</v>
      </c>
      <c r="E16" s="29">
        <f>Budget!Y137</f>
        <v>11637.000000000007</v>
      </c>
      <c r="F16" s="89">
        <f>Budget!Z137</f>
        <v>4.3104999999999991E-2</v>
      </c>
      <c r="G16" s="101">
        <f>Budget!AA137</f>
        <v>0.41380800000000001</v>
      </c>
    </row>
    <row r="17" spans="1:7" x14ac:dyDescent="0.35">
      <c r="A17" s="99">
        <f>Budget!U138</f>
        <v>1.2999999999999999E-2</v>
      </c>
      <c r="B17" s="100">
        <f>Budget!V138</f>
        <v>600000.00000000012</v>
      </c>
      <c r="C17" s="29">
        <f>Budget!W138</f>
        <v>37500.000000000007</v>
      </c>
      <c r="D17" s="29">
        <f>Budget!X138</f>
        <v>26863</v>
      </c>
      <c r="E17" s="29">
        <f>Budget!Y138</f>
        <v>10637.000000000007</v>
      </c>
      <c r="F17" s="89">
        <f>Budget!Z138</f>
        <v>4.4771666666666661E-2</v>
      </c>
      <c r="G17" s="101">
        <f>Budget!AA138</f>
        <v>0.42980800000000002</v>
      </c>
    </row>
    <row r="18" spans="1:7" x14ac:dyDescent="0.35">
      <c r="A18" s="99">
        <f>Budget!U139</f>
        <v>1.4E-2</v>
      </c>
      <c r="B18" s="100">
        <f>Budget!V139</f>
        <v>600000.00000000012</v>
      </c>
      <c r="C18" s="29">
        <f>Budget!W139</f>
        <v>37500.000000000007</v>
      </c>
      <c r="D18" s="29">
        <f>Budget!X139</f>
        <v>27863</v>
      </c>
      <c r="E18" s="29">
        <f>Budget!Y139</f>
        <v>9637.0000000000073</v>
      </c>
      <c r="F18" s="89">
        <f>Budget!Z139</f>
        <v>4.6438333333333325E-2</v>
      </c>
      <c r="G18" s="101">
        <f>Budget!AA139</f>
        <v>0.44580799999999998</v>
      </c>
    </row>
    <row r="19" spans="1:7" x14ac:dyDescent="0.35">
      <c r="A19" s="99">
        <f>Budget!U140</f>
        <v>1.4999999999999999E-2</v>
      </c>
      <c r="B19" s="100">
        <f>Budget!V140</f>
        <v>600000.00000000012</v>
      </c>
      <c r="C19" s="29">
        <f>Budget!W140</f>
        <v>37500.000000000007</v>
      </c>
      <c r="D19" s="29">
        <f>Budget!X140</f>
        <v>28863</v>
      </c>
      <c r="E19" s="29">
        <f>Budget!Y140</f>
        <v>8637.0000000000073</v>
      </c>
      <c r="F19" s="89">
        <f>Budget!Z140</f>
        <v>4.8104999999999988E-2</v>
      </c>
      <c r="G19" s="101">
        <f>Budget!AA140</f>
        <v>0.461808</v>
      </c>
    </row>
    <row r="23" spans="1:7" ht="18.5" x14ac:dyDescent="0.45">
      <c r="A23" s="255" t="s">
        <v>127</v>
      </c>
      <c r="B23" s="255"/>
      <c r="C23" s="255"/>
      <c r="D23" s="255"/>
      <c r="E23" s="255"/>
      <c r="F23" s="255"/>
      <c r="G23" s="255"/>
    </row>
    <row r="24" spans="1:7" ht="29.5" thickBot="1" x14ac:dyDescent="0.4">
      <c r="A24" s="122" t="s">
        <v>127</v>
      </c>
      <c r="B24" s="184" t="s">
        <v>89</v>
      </c>
      <c r="C24" s="122" t="s">
        <v>106</v>
      </c>
      <c r="D24" s="122" t="s">
        <v>123</v>
      </c>
      <c r="E24" s="122" t="s">
        <v>125</v>
      </c>
      <c r="F24" s="122" t="s">
        <v>124</v>
      </c>
      <c r="G24" s="122" t="s">
        <v>134</v>
      </c>
    </row>
    <row r="25" spans="1:7" x14ac:dyDescent="0.35">
      <c r="A25" s="161">
        <f>Budget!U155</f>
        <v>0.25</v>
      </c>
      <c r="B25" s="162">
        <f>Budget!V155</f>
        <v>250000</v>
      </c>
      <c r="C25" s="30">
        <f>Budget!W155</f>
        <v>15625.000000000002</v>
      </c>
      <c r="D25" s="30">
        <f>Budget!X155</f>
        <v>19863</v>
      </c>
      <c r="E25" s="30">
        <f>Budget!Y155</f>
        <v>-4237.9999999999982</v>
      </c>
      <c r="F25" s="85">
        <f>Budget!Z155</f>
        <v>7.9451999999999995E-2</v>
      </c>
      <c r="G25" s="163">
        <f>Budget!AA155</f>
        <v>0.31780799999999998</v>
      </c>
    </row>
    <row r="26" spans="1:7" x14ac:dyDescent="0.35">
      <c r="A26" s="94">
        <f>Budget!U156</f>
        <v>0.3</v>
      </c>
      <c r="B26" s="100">
        <f>Budget!V156</f>
        <v>300000</v>
      </c>
      <c r="C26" s="29">
        <f>Budget!W156</f>
        <v>18750</v>
      </c>
      <c r="D26" s="29">
        <f>Budget!X156</f>
        <v>19863</v>
      </c>
      <c r="E26" s="29">
        <f>Budget!Y156</f>
        <v>-1113</v>
      </c>
      <c r="F26" s="89">
        <f>Budget!Z156</f>
        <v>6.6210000000000005E-2</v>
      </c>
      <c r="G26" s="101">
        <f>Budget!AA156</f>
        <v>0.31780799999999998</v>
      </c>
    </row>
    <row r="27" spans="1:7" x14ac:dyDescent="0.35">
      <c r="A27" s="94">
        <f>Budget!U157</f>
        <v>0.35</v>
      </c>
      <c r="B27" s="100">
        <f>Budget!V157</f>
        <v>350000</v>
      </c>
      <c r="C27" s="29">
        <f>Budget!W157</f>
        <v>21875</v>
      </c>
      <c r="D27" s="29">
        <f>Budget!X157</f>
        <v>19863</v>
      </c>
      <c r="E27" s="29">
        <f>Budget!Y157</f>
        <v>2012</v>
      </c>
      <c r="F27" s="89">
        <f>Budget!Z157</f>
        <v>5.6751428571428571E-2</v>
      </c>
      <c r="G27" s="101">
        <f>Budget!AA157</f>
        <v>0.31780799999999998</v>
      </c>
    </row>
    <row r="28" spans="1:7" x14ac:dyDescent="0.35">
      <c r="A28" s="94">
        <f>Budget!U158</f>
        <v>0.4</v>
      </c>
      <c r="B28" s="100">
        <f>Budget!V158</f>
        <v>400000</v>
      </c>
      <c r="C28" s="29">
        <f>Budget!W158</f>
        <v>25000.000000000004</v>
      </c>
      <c r="D28" s="29">
        <f>Budget!X158</f>
        <v>19863</v>
      </c>
      <c r="E28" s="29">
        <f>Budget!Y158</f>
        <v>5137.0000000000036</v>
      </c>
      <c r="F28" s="89">
        <f>Budget!Z158</f>
        <v>4.96575E-2</v>
      </c>
      <c r="G28" s="101">
        <f>Budget!AA158</f>
        <v>0.31780799999999998</v>
      </c>
    </row>
    <row r="29" spans="1:7" x14ac:dyDescent="0.35">
      <c r="A29" s="94">
        <f>Budget!U159</f>
        <v>0.45</v>
      </c>
      <c r="B29" s="100">
        <f>Budget!V159</f>
        <v>450000</v>
      </c>
      <c r="C29" s="29">
        <f>Budget!W159</f>
        <v>28125.000000000004</v>
      </c>
      <c r="D29" s="29">
        <f>Budget!X159</f>
        <v>19863</v>
      </c>
      <c r="E29" s="29">
        <f>Budget!Y159</f>
        <v>8262.0000000000036</v>
      </c>
      <c r="F29" s="89">
        <f>Budget!Z159</f>
        <v>4.4139999999999999E-2</v>
      </c>
      <c r="G29" s="101">
        <f>Budget!AA159</f>
        <v>0.31780799999999998</v>
      </c>
    </row>
    <row r="30" spans="1:7" x14ac:dyDescent="0.35">
      <c r="A30" s="94">
        <f>Budget!U160</f>
        <v>0.5</v>
      </c>
      <c r="B30" s="100">
        <f>Budget!V160</f>
        <v>500000</v>
      </c>
      <c r="C30" s="29">
        <f>Budget!W160</f>
        <v>31250.000000000004</v>
      </c>
      <c r="D30" s="29">
        <f>Budget!X160</f>
        <v>19863</v>
      </c>
      <c r="E30" s="29">
        <f>Budget!Y160</f>
        <v>11387.000000000004</v>
      </c>
      <c r="F30" s="89">
        <f>Budget!Z160</f>
        <v>3.9725999999999997E-2</v>
      </c>
      <c r="G30" s="101">
        <f>Budget!AA160</f>
        <v>0.31780799999999998</v>
      </c>
    </row>
    <row r="31" spans="1:7" x14ac:dyDescent="0.35">
      <c r="A31" s="94">
        <f>Budget!U161</f>
        <v>0.55000000000000004</v>
      </c>
      <c r="B31" s="100">
        <f>Budget!V161</f>
        <v>550000</v>
      </c>
      <c r="C31" s="29">
        <f>Budget!W161</f>
        <v>34375.000000000007</v>
      </c>
      <c r="D31" s="29">
        <f>Budget!X161</f>
        <v>19863</v>
      </c>
      <c r="E31" s="29">
        <f>Budget!Y161</f>
        <v>14512.000000000007</v>
      </c>
      <c r="F31" s="89">
        <f>Budget!Z161</f>
        <v>3.6114545454545455E-2</v>
      </c>
      <c r="G31" s="101">
        <f>Budget!AA161</f>
        <v>0.31780799999999998</v>
      </c>
    </row>
    <row r="32" spans="1:7" x14ac:dyDescent="0.35">
      <c r="A32" s="94">
        <f>Budget!U162</f>
        <v>0.6</v>
      </c>
      <c r="B32" s="100">
        <f>Budget!V162</f>
        <v>600000</v>
      </c>
      <c r="C32" s="29">
        <f>Budget!W162</f>
        <v>37500</v>
      </c>
      <c r="D32" s="29">
        <f>Budget!X162</f>
        <v>19863</v>
      </c>
      <c r="E32" s="29">
        <f>Budget!Y162</f>
        <v>17637</v>
      </c>
      <c r="F32" s="89">
        <f>Budget!Z162</f>
        <v>3.3105000000000002E-2</v>
      </c>
      <c r="G32" s="101">
        <f>Budget!AA162</f>
        <v>0.31780799999999998</v>
      </c>
    </row>
    <row r="33" spans="1:7" x14ac:dyDescent="0.35">
      <c r="A33" s="94">
        <f>Budget!U163</f>
        <v>0.65</v>
      </c>
      <c r="B33" s="100">
        <f>Budget!V163</f>
        <v>650000</v>
      </c>
      <c r="C33" s="29">
        <f>Budget!W163</f>
        <v>40625</v>
      </c>
      <c r="D33" s="29">
        <f>Budget!X163</f>
        <v>19863</v>
      </c>
      <c r="E33" s="29">
        <f>Budget!Y163</f>
        <v>20762</v>
      </c>
      <c r="F33" s="89">
        <f>Budget!Z163</f>
        <v>3.0558461538461538E-2</v>
      </c>
      <c r="G33" s="101">
        <f>Budget!AA163</f>
        <v>0.31780799999999998</v>
      </c>
    </row>
    <row r="34" spans="1:7" x14ac:dyDescent="0.35">
      <c r="A34" s="94">
        <f>Budget!U164</f>
        <v>0.7</v>
      </c>
      <c r="B34" s="100">
        <f>Budget!V164</f>
        <v>700000</v>
      </c>
      <c r="C34" s="29">
        <f>Budget!W164</f>
        <v>43750</v>
      </c>
      <c r="D34" s="29">
        <f>Budget!X164</f>
        <v>19863</v>
      </c>
      <c r="E34" s="29">
        <f>Budget!Y164</f>
        <v>23887</v>
      </c>
      <c r="F34" s="89">
        <f>Budget!Z164</f>
        <v>2.8375714285714285E-2</v>
      </c>
      <c r="G34" s="101">
        <f>Budget!AA164</f>
        <v>0.31780799999999998</v>
      </c>
    </row>
    <row r="35" spans="1:7" s="186" customFormat="1" x14ac:dyDescent="0.35">
      <c r="A35" s="94">
        <f>Budget!U165</f>
        <v>0.75</v>
      </c>
      <c r="B35" s="100">
        <f>Budget!V165</f>
        <v>750000</v>
      </c>
      <c r="C35" s="29">
        <f>Budget!W165</f>
        <v>46875</v>
      </c>
      <c r="D35" s="29">
        <f>Budget!X165</f>
        <v>19863</v>
      </c>
      <c r="E35" s="29">
        <f>Budget!Y165</f>
        <v>27012</v>
      </c>
      <c r="F35" s="89">
        <f>Budget!Z165</f>
        <v>2.6484000000000001E-2</v>
      </c>
      <c r="G35" s="101">
        <f>Budget!AA165</f>
        <v>0.31780799999999998</v>
      </c>
    </row>
    <row r="36" spans="1:7" x14ac:dyDescent="0.35">
      <c r="A36" s="94">
        <f>Budget!U166</f>
        <v>0.8</v>
      </c>
      <c r="B36" s="100">
        <f>Budget!V166</f>
        <v>800000</v>
      </c>
      <c r="C36" s="29">
        <f>Budget!W166</f>
        <v>50000.000000000007</v>
      </c>
      <c r="D36" s="29">
        <f>Budget!X166</f>
        <v>19863</v>
      </c>
      <c r="E36" s="29">
        <f>Budget!Y166</f>
        <v>30137.000000000007</v>
      </c>
      <c r="F36" s="89">
        <f>Budget!Z166</f>
        <v>2.482875E-2</v>
      </c>
      <c r="G36" s="101">
        <f>Budget!AA166</f>
        <v>0.31780799999999998</v>
      </c>
    </row>
    <row r="37" spans="1:7" x14ac:dyDescent="0.35">
      <c r="A37" s="94">
        <f>Budget!U167</f>
        <v>0.85</v>
      </c>
      <c r="B37" s="100">
        <f>Budget!V167</f>
        <v>850000</v>
      </c>
      <c r="C37" s="29">
        <f>Budget!W167</f>
        <v>53125.000000000007</v>
      </c>
      <c r="D37" s="29">
        <f>Budget!X167</f>
        <v>19863</v>
      </c>
      <c r="E37" s="29">
        <f>Budget!Y167</f>
        <v>33262.000000000007</v>
      </c>
      <c r="F37" s="89">
        <f>Budget!Z167</f>
        <v>2.3368235294117648E-2</v>
      </c>
      <c r="G37" s="101">
        <f>Budget!AA167</f>
        <v>0.31780799999999998</v>
      </c>
    </row>
    <row r="38" spans="1:7" x14ac:dyDescent="0.35">
      <c r="A38" s="94">
        <f>Budget!U168</f>
        <v>0.9</v>
      </c>
      <c r="B38" s="100">
        <f>Budget!V168</f>
        <v>900000</v>
      </c>
      <c r="C38" s="29">
        <f>Budget!W168</f>
        <v>56250.000000000007</v>
      </c>
      <c r="D38" s="29">
        <f>Budget!X168</f>
        <v>19863</v>
      </c>
      <c r="E38" s="29">
        <f>Budget!Y168</f>
        <v>36387.000000000007</v>
      </c>
      <c r="F38" s="89">
        <f>Budget!Z168</f>
        <v>2.2069999999999999E-2</v>
      </c>
      <c r="G38" s="101">
        <f>Budget!AA168</f>
        <v>0.31780799999999998</v>
      </c>
    </row>
    <row r="39" spans="1:7" x14ac:dyDescent="0.35">
      <c r="A39" s="94">
        <f>Budget!U169</f>
        <v>0.95</v>
      </c>
      <c r="B39" s="100">
        <f>Budget!V169</f>
        <v>950000</v>
      </c>
      <c r="C39" s="29">
        <f>Budget!W169</f>
        <v>59375.000000000007</v>
      </c>
      <c r="D39" s="29">
        <f>Budget!X169</f>
        <v>19863</v>
      </c>
      <c r="E39" s="29">
        <f>Budget!Y169</f>
        <v>39512.000000000007</v>
      </c>
      <c r="F39" s="89">
        <f>Budget!Z169</f>
        <v>2.090842105263158E-2</v>
      </c>
      <c r="G39" s="101">
        <f>Budget!AA169</f>
        <v>0.31780799999999998</v>
      </c>
    </row>
    <row r="107" spans="1:1" hidden="1" x14ac:dyDescent="0.35">
      <c r="A107" s="160" t="s">
        <v>94</v>
      </c>
    </row>
    <row r="108" spans="1:1" hidden="1" x14ac:dyDescent="0.35">
      <c r="A108" s="160">
        <f>Budget!H5</f>
        <v>6.0000000000000001E-3</v>
      </c>
    </row>
    <row r="109" spans="1:1" hidden="1" x14ac:dyDescent="0.35">
      <c r="A109" s="160" t="s">
        <v>95</v>
      </c>
    </row>
    <row r="110" spans="1:1" hidden="1" x14ac:dyDescent="0.35">
      <c r="A110" s="203">
        <f>Budget!E11</f>
        <v>0.60000000000000009</v>
      </c>
    </row>
  </sheetData>
  <sheetProtection algorithmName="SHA-512" hashValue="SY/dPNhDlSHMGkFQZMgZWBiGRx9FwxrMbBTZRFf/WxJuuzndT1mAR5SBfcaMt3SuV6yLsq/n8YTGy06L9UDNGQ==" saltValue="c58X+5xzk2CbSFLE+zV8Qw==" spinCount="100000" sheet="1" objects="1" scenarios="1"/>
  <mergeCells count="3">
    <mergeCell ref="A1:G1"/>
    <mergeCell ref="A3:G3"/>
    <mergeCell ref="A23:G23"/>
  </mergeCells>
  <phoneticPr fontId="2" type="noConversion"/>
  <conditionalFormatting sqref="E1:E2 E4">
    <cfRule type="cellIs" dxfId="17" priority="13" stopIfTrue="1" operator="lessThan">
      <formula>0</formula>
    </cfRule>
  </conditionalFormatting>
  <conditionalFormatting sqref="E1:E4">
    <cfRule type="cellIs" dxfId="16" priority="12" stopIfTrue="1" operator="lessThan">
      <formula>0</formula>
    </cfRule>
  </conditionalFormatting>
  <conditionalFormatting sqref="E24">
    <cfRule type="cellIs" dxfId="15" priority="10" stopIfTrue="1" operator="lessThan">
      <formula>0</formula>
    </cfRule>
  </conditionalFormatting>
  <conditionalFormatting sqref="E24">
    <cfRule type="cellIs" dxfId="14" priority="11" stopIfTrue="1" operator="lessThan">
      <formula>0</formula>
    </cfRule>
  </conditionalFormatting>
  <conditionalFormatting sqref="E25:E39">
    <cfRule type="cellIs" dxfId="13" priority="9" stopIfTrue="1" operator="lessThan">
      <formula>0</formula>
    </cfRule>
  </conditionalFormatting>
  <conditionalFormatting sqref="E6:E19">
    <cfRule type="cellIs" dxfId="12" priority="3" stopIfTrue="1" operator="lessThan">
      <formula>0</formula>
    </cfRule>
  </conditionalFormatting>
  <conditionalFormatting sqref="A6:A19">
    <cfRule type="cellIs" dxfId="11" priority="2" stopIfTrue="1" operator="equal">
      <formula>$A$108</formula>
    </cfRule>
  </conditionalFormatting>
  <conditionalFormatting sqref="A25:A39">
    <cfRule type="cellIs" dxfId="10" priority="1" stopIfTrue="1" operator="equal">
      <formula>$A$110</formula>
    </cfRule>
  </conditionalFormatting>
  <pageMargins left="0.75" right="0.75" top="1" bottom="1" header="0.5" footer="0.5"/>
  <pageSetup orientation="landscape" horizontalDpi="4294967292" verticalDpi="4294967292" r:id="rId1"/>
  <headerFooter alignWithMargins="0"/>
  <rowBreaks count="1" manualBreakCount="1">
    <brk id="2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
  <sheetViews>
    <sheetView zoomScaleNormal="100" workbookViewId="0">
      <selection sqref="A1:I1"/>
    </sheetView>
  </sheetViews>
  <sheetFormatPr defaultColWidth="11" defaultRowHeight="15.5" x14ac:dyDescent="0.35"/>
  <cols>
    <col min="1" max="3" width="11" customWidth="1"/>
    <col min="4" max="4" width="14.58203125" customWidth="1"/>
    <col min="5" max="5" width="11" customWidth="1"/>
    <col min="6" max="6" width="12.08203125" customWidth="1"/>
    <col min="7" max="7" width="12" customWidth="1"/>
    <col min="8" max="9" width="15.83203125" bestFit="1" customWidth="1"/>
  </cols>
  <sheetData>
    <row r="1" spans="1:9" ht="21" x14ac:dyDescent="0.5">
      <c r="A1" s="256" t="s">
        <v>128</v>
      </c>
      <c r="B1" s="256"/>
      <c r="C1" s="256"/>
      <c r="D1" s="256"/>
      <c r="E1" s="256"/>
      <c r="F1" s="256"/>
      <c r="G1" s="256"/>
      <c r="H1" s="256"/>
      <c r="I1" s="256"/>
    </row>
    <row r="2" spans="1:9" x14ac:dyDescent="0.35">
      <c r="A2" s="165"/>
      <c r="B2" s="165"/>
      <c r="C2" s="165"/>
      <c r="D2" s="165"/>
      <c r="E2" s="165"/>
      <c r="F2" s="165"/>
      <c r="G2" s="165"/>
      <c r="H2" s="165"/>
      <c r="I2" s="165"/>
    </row>
    <row r="3" spans="1:9" ht="18.5" x14ac:dyDescent="0.45">
      <c r="A3" s="257" t="s">
        <v>47</v>
      </c>
      <c r="B3" s="257"/>
      <c r="C3" s="257"/>
      <c r="D3" s="257"/>
      <c r="E3" s="257"/>
      <c r="F3" s="257"/>
      <c r="G3" s="257"/>
      <c r="H3" s="257"/>
      <c r="I3" s="257"/>
    </row>
    <row r="4" spans="1:9" x14ac:dyDescent="0.35">
      <c r="A4" s="165"/>
      <c r="B4" s="165"/>
      <c r="C4" s="165"/>
      <c r="D4" s="165"/>
      <c r="E4" s="165"/>
      <c r="F4" s="165"/>
      <c r="G4" s="165"/>
      <c r="H4" s="165"/>
      <c r="I4" s="165"/>
    </row>
    <row r="5" spans="1:9" ht="29" x14ac:dyDescent="0.35">
      <c r="A5" s="258" t="s">
        <v>96</v>
      </c>
      <c r="B5" s="258"/>
      <c r="C5" s="258"/>
      <c r="D5" s="176" t="s">
        <v>89</v>
      </c>
      <c r="E5" s="176" t="s">
        <v>106</v>
      </c>
      <c r="F5" s="176" t="s">
        <v>129</v>
      </c>
      <c r="G5" s="176" t="s">
        <v>125</v>
      </c>
      <c r="H5" s="176" t="s">
        <v>124</v>
      </c>
      <c r="I5" s="176" t="s">
        <v>135</v>
      </c>
    </row>
    <row r="6" spans="1:9" ht="16" thickBot="1" x14ac:dyDescent="0.4">
      <c r="A6" s="166" t="s">
        <v>97</v>
      </c>
      <c r="B6" s="166" t="s">
        <v>98</v>
      </c>
      <c r="C6" s="166" t="s">
        <v>99</v>
      </c>
      <c r="D6" s="168"/>
      <c r="E6" s="168"/>
      <c r="F6" s="168"/>
      <c r="G6" s="168"/>
      <c r="H6" s="168"/>
      <c r="I6" s="168"/>
    </row>
    <row r="7" spans="1:9" x14ac:dyDescent="0.35">
      <c r="A7" s="204">
        <v>0.03</v>
      </c>
      <c r="B7" s="205">
        <v>0.01</v>
      </c>
      <c r="C7" s="206">
        <v>1.4999999999999999E-2</v>
      </c>
      <c r="D7" s="169">
        <f>Budget!$C$85</f>
        <v>600000.00000000012</v>
      </c>
      <c r="E7" s="169">
        <f>'Market Price Proxy (1)'!F90</f>
        <v>14700.000000000002</v>
      </c>
      <c r="F7" s="170">
        <f>Budget!E108-Budget!E105</f>
        <v>19863</v>
      </c>
      <c r="G7" s="177">
        <f>'Market Price Proxy (1)'!F120</f>
        <v>-5162.9999999999982</v>
      </c>
      <c r="H7" s="171">
        <f>'Market Price Proxy (1)'!F121</f>
        <v>3.3104999999999996E-2</v>
      </c>
      <c r="I7" s="172">
        <f>'Market Price Proxy (1)'!F122</f>
        <v>0.81073469387755104</v>
      </c>
    </row>
    <row r="8" spans="1:9" x14ac:dyDescent="0.35">
      <c r="A8" s="204">
        <v>0.04</v>
      </c>
      <c r="B8" s="205">
        <v>0.02</v>
      </c>
      <c r="C8" s="206">
        <v>0.02</v>
      </c>
      <c r="D8" s="169">
        <f>Budget!$C$85</f>
        <v>600000.00000000012</v>
      </c>
      <c r="E8" s="169">
        <f>'Market Price Proxy (2)'!F90</f>
        <v>20400.000000000004</v>
      </c>
      <c r="F8" s="173">
        <f>Budget!E108-Budget!E105</f>
        <v>19863</v>
      </c>
      <c r="G8" s="178">
        <f>'Market Price Proxy (2)'!F120</f>
        <v>537.00000000000364</v>
      </c>
      <c r="H8" s="171">
        <f>'Market Price Proxy (2)'!F121</f>
        <v>3.3104999999999996E-2</v>
      </c>
      <c r="I8" s="172">
        <f>'Market Price Proxy (2)'!F122</f>
        <v>0.58420588235294113</v>
      </c>
    </row>
    <row r="9" spans="1:9" x14ac:dyDescent="0.35">
      <c r="A9" s="204">
        <v>0.05</v>
      </c>
      <c r="B9" s="205">
        <v>0.03</v>
      </c>
      <c r="C9" s="206">
        <v>2.5000000000000001E-2</v>
      </c>
      <c r="D9" s="169">
        <f>Budget!$C$85</f>
        <v>600000.00000000012</v>
      </c>
      <c r="E9" s="169">
        <f>'Market Price Proxy (3)'!F90</f>
        <v>26100.000000000004</v>
      </c>
      <c r="F9" s="173">
        <f>Budget!E108-Budget!E105</f>
        <v>19863</v>
      </c>
      <c r="G9" s="178">
        <f>'Market Price Proxy (3)'!F120</f>
        <v>6237.0000000000036</v>
      </c>
      <c r="H9" s="171">
        <f>'Market Price Proxy (3)'!F121</f>
        <v>3.3104999999999996E-2</v>
      </c>
      <c r="I9" s="172">
        <f>'Market Price Proxy (3)'!F122</f>
        <v>0.45662068965517244</v>
      </c>
    </row>
    <row r="10" spans="1:9" x14ac:dyDescent="0.35">
      <c r="A10" s="204">
        <v>0.06</v>
      </c>
      <c r="B10" s="205">
        <v>0.04</v>
      </c>
      <c r="C10" s="206">
        <v>0.03</v>
      </c>
      <c r="D10" s="169">
        <f>Budget!$C$85</f>
        <v>600000.00000000012</v>
      </c>
      <c r="E10" s="169">
        <f>'Market Price Proxy (4)'!F90</f>
        <v>31800.000000000004</v>
      </c>
      <c r="F10" s="173">
        <f>Budget!E108-Budget!E105</f>
        <v>19863</v>
      </c>
      <c r="G10" s="179">
        <f>'Market Price Proxy (4)'!F120</f>
        <v>11937.000000000004</v>
      </c>
      <c r="H10" s="171">
        <f>'Market Price Proxy (4)'!F121</f>
        <v>3.3104999999999996E-2</v>
      </c>
      <c r="I10" s="172">
        <f>'Market Price Proxy (4)'!F122</f>
        <v>0.37477358490566037</v>
      </c>
    </row>
    <row r="11" spans="1:9" x14ac:dyDescent="0.35">
      <c r="A11" s="207">
        <v>7.0000000000000007E-2</v>
      </c>
      <c r="B11" s="207">
        <v>0.05</v>
      </c>
      <c r="C11" s="208">
        <v>3.5000000000000003E-2</v>
      </c>
      <c r="D11" s="169">
        <f>Budget!$C$85</f>
        <v>600000.00000000012</v>
      </c>
      <c r="E11" s="169">
        <f>'Market Price Proxy (5)'!F90</f>
        <v>37500.000000000007</v>
      </c>
      <c r="F11" s="173">
        <f>Budget!E108-Budget!E105</f>
        <v>19863</v>
      </c>
      <c r="G11" s="179">
        <f>'Market Price Proxy (5)'!F120</f>
        <v>17637.000000000007</v>
      </c>
      <c r="H11" s="171">
        <f>'Market Price Proxy (5)'!F121</f>
        <v>3.3104999999999996E-2</v>
      </c>
      <c r="I11" s="172">
        <f>'Market Price Proxy (5)'!F122</f>
        <v>0.31780799999999998</v>
      </c>
    </row>
    <row r="12" spans="1:9" x14ac:dyDescent="0.35">
      <c r="A12" s="204">
        <v>0.08</v>
      </c>
      <c r="B12" s="205">
        <v>0.06</v>
      </c>
      <c r="C12" s="206">
        <v>0.04</v>
      </c>
      <c r="D12" s="169">
        <f>Budget!$C$85</f>
        <v>600000.00000000012</v>
      </c>
      <c r="E12" s="169">
        <f>'Market Price Proxy (6)'!F90</f>
        <v>43200.000000000007</v>
      </c>
      <c r="F12" s="173">
        <f>Budget!E108-Budget!E105</f>
        <v>19863</v>
      </c>
      <c r="G12" s="179">
        <f>'Market Price Proxy (6)'!F120</f>
        <v>23337.000000000007</v>
      </c>
      <c r="H12" s="171">
        <f>'Market Price Proxy (6)'!F121</f>
        <v>3.3104999999999996E-2</v>
      </c>
      <c r="I12" s="172">
        <f>'Market Price Proxy (6)'!F122</f>
        <v>0.27587499999999998</v>
      </c>
    </row>
    <row r="13" spans="1:9" x14ac:dyDescent="0.35">
      <c r="A13" s="204">
        <v>0.09</v>
      </c>
      <c r="B13" s="205">
        <v>7.0000000000000007E-2</v>
      </c>
      <c r="C13" s="206">
        <v>4.4999999999999998E-2</v>
      </c>
      <c r="D13" s="169">
        <f>Budget!$C$85</f>
        <v>600000.00000000012</v>
      </c>
      <c r="E13" s="169">
        <f>'Market Price Proxy (7)'!F90</f>
        <v>48900.000000000015</v>
      </c>
      <c r="F13" s="173">
        <f>Budget!E108-Budget!E105</f>
        <v>19863</v>
      </c>
      <c r="G13" s="179">
        <f>'Market Price Proxy (7)'!F120</f>
        <v>29037.000000000015</v>
      </c>
      <c r="H13" s="171">
        <f>'Market Price Proxy (7)'!F121</f>
        <v>3.3104999999999996E-2</v>
      </c>
      <c r="I13" s="172">
        <f>'Market Price Proxy (7)'!F122</f>
        <v>0.24371779141104294</v>
      </c>
    </row>
    <row r="14" spans="1:9" x14ac:dyDescent="0.35">
      <c r="A14" s="204">
        <v>0.1</v>
      </c>
      <c r="B14" s="205">
        <v>0.08</v>
      </c>
      <c r="C14" s="206">
        <v>0.05</v>
      </c>
      <c r="D14" s="169">
        <f>Budget!$C$85</f>
        <v>600000.00000000012</v>
      </c>
      <c r="E14" s="169">
        <f>'Market Price Proxy (8)'!F90</f>
        <v>54600.000000000007</v>
      </c>
      <c r="F14" s="173">
        <f>Budget!E108-Budget!E105</f>
        <v>19863</v>
      </c>
      <c r="G14" s="179">
        <f>'Market Price Proxy (8)'!F120</f>
        <v>34737.000000000007</v>
      </c>
      <c r="H14" s="171">
        <f>'Market Price Proxy (8)'!F121</f>
        <v>3.3104999999999996E-2</v>
      </c>
      <c r="I14" s="172">
        <f>'Market Price Proxy (8)'!F122</f>
        <v>0.2182747252747253</v>
      </c>
    </row>
    <row r="15" spans="1:9" x14ac:dyDescent="0.35">
      <c r="A15" s="204">
        <v>0.11</v>
      </c>
      <c r="B15" s="205">
        <v>0.09</v>
      </c>
      <c r="C15" s="206">
        <v>5.5E-2</v>
      </c>
      <c r="D15" s="169">
        <f>Budget!$C$85</f>
        <v>600000.00000000012</v>
      </c>
      <c r="E15" s="169">
        <f>'Market Price Proxy (9)'!F90</f>
        <v>60300.000000000007</v>
      </c>
      <c r="F15" s="173">
        <f>Budget!E108-Budget!E105</f>
        <v>19863</v>
      </c>
      <c r="G15" s="179">
        <f>'Market Price Proxy (9)'!F120</f>
        <v>40437.000000000007</v>
      </c>
      <c r="H15" s="171">
        <f>'Market Price Proxy (9)'!F121</f>
        <v>3.3104999999999996E-2</v>
      </c>
      <c r="I15" s="172">
        <f>'Market Price Proxy (9)'!F122</f>
        <v>0.19764179104477608</v>
      </c>
    </row>
    <row r="16" spans="1:9" x14ac:dyDescent="0.35">
      <c r="A16" s="204">
        <v>0.12</v>
      </c>
      <c r="B16" s="205">
        <v>0.1</v>
      </c>
      <c r="C16" s="206">
        <v>0.06</v>
      </c>
      <c r="D16" s="169">
        <f>Budget!$C$85</f>
        <v>600000.00000000012</v>
      </c>
      <c r="E16" s="169">
        <f>'Market Price Proxy (10)'!F90</f>
        <v>66000.000000000015</v>
      </c>
      <c r="F16" s="173">
        <f>Budget!E108-Budget!E105</f>
        <v>19863</v>
      </c>
      <c r="G16" s="179">
        <f>'Market Price Proxy (10)'!F120</f>
        <v>46137.000000000015</v>
      </c>
      <c r="H16" s="171">
        <f>'Market Price Proxy (10)'!F121</f>
        <v>3.3104999999999996E-2</v>
      </c>
      <c r="I16" s="172">
        <f>'Market Price Proxy (10)'!F122</f>
        <v>0.18057272727272727</v>
      </c>
    </row>
    <row r="17" spans="1:9" x14ac:dyDescent="0.35">
      <c r="A17" s="204">
        <v>0.13</v>
      </c>
      <c r="B17" s="205">
        <v>0.11</v>
      </c>
      <c r="C17" s="206">
        <v>6.5000000000000002E-2</v>
      </c>
      <c r="D17" s="169">
        <f>Budget!$C$85</f>
        <v>600000.00000000012</v>
      </c>
      <c r="E17" s="169">
        <f>'Market Price Proxy (11)'!F90</f>
        <v>71700.000000000015</v>
      </c>
      <c r="F17" s="173">
        <f>Budget!E108-Budget!E105</f>
        <v>19863</v>
      </c>
      <c r="G17" s="179">
        <f>'Market Price Proxy (11)'!F120</f>
        <v>51837.000000000015</v>
      </c>
      <c r="H17" s="171">
        <f>'Market Price Proxy (11)'!F121</f>
        <v>3.3104999999999996E-2</v>
      </c>
      <c r="I17" s="172">
        <f>'Market Price Proxy (11)'!F122</f>
        <v>0.16621757322175731</v>
      </c>
    </row>
    <row r="18" spans="1:9" x14ac:dyDescent="0.35">
      <c r="A18" s="167"/>
      <c r="B18" s="167"/>
      <c r="C18" s="174"/>
      <c r="D18" s="167"/>
      <c r="E18" s="167"/>
      <c r="F18" s="167"/>
      <c r="G18" s="167"/>
      <c r="H18" s="167"/>
      <c r="I18" s="167"/>
    </row>
    <row r="19" spans="1:9" ht="18.5" x14ac:dyDescent="0.45">
      <c r="A19" s="257" t="s">
        <v>101</v>
      </c>
      <c r="B19" s="257"/>
      <c r="C19" s="257"/>
      <c r="D19" s="257"/>
      <c r="E19" s="257"/>
      <c r="F19" s="257"/>
      <c r="G19" s="257"/>
      <c r="H19" s="257"/>
      <c r="I19" s="257"/>
    </row>
    <row r="20" spans="1:9" x14ac:dyDescent="0.35">
      <c r="A20" s="167"/>
      <c r="B20" s="167"/>
      <c r="C20" s="174"/>
      <c r="D20" s="167"/>
      <c r="E20" s="167"/>
      <c r="F20" s="167"/>
      <c r="G20" s="167"/>
      <c r="H20" s="175"/>
      <c r="I20" s="167"/>
    </row>
    <row r="21" spans="1:9" ht="29" x14ac:dyDescent="0.35">
      <c r="A21" s="258" t="s">
        <v>100</v>
      </c>
      <c r="B21" s="258"/>
      <c r="C21" s="258"/>
      <c r="D21" s="176" t="s">
        <v>89</v>
      </c>
      <c r="E21" s="176" t="s">
        <v>106</v>
      </c>
      <c r="F21" s="176" t="s">
        <v>129</v>
      </c>
      <c r="G21" s="176" t="s">
        <v>125</v>
      </c>
      <c r="H21" s="176" t="s">
        <v>124</v>
      </c>
      <c r="I21" s="176" t="s">
        <v>135</v>
      </c>
    </row>
    <row r="22" spans="1:9" ht="16" thickBot="1" x14ac:dyDescent="0.4">
      <c r="A22" s="166" t="s">
        <v>97</v>
      </c>
      <c r="B22" s="166" t="s">
        <v>98</v>
      </c>
      <c r="C22" s="166" t="s">
        <v>99</v>
      </c>
      <c r="D22" s="168"/>
      <c r="E22" s="168"/>
      <c r="F22" s="168"/>
      <c r="G22" s="168"/>
      <c r="H22" s="168"/>
      <c r="I22" s="168"/>
    </row>
    <row r="23" spans="1:9" x14ac:dyDescent="0.35">
      <c r="A23" s="209">
        <v>0.9</v>
      </c>
      <c r="B23" s="210">
        <v>0.1</v>
      </c>
      <c r="C23" s="210">
        <v>0</v>
      </c>
      <c r="D23" s="169">
        <f>Budget!$C$85</f>
        <v>600000.00000000012</v>
      </c>
      <c r="E23" s="169">
        <f>'Size Distribution Proxy (1)'!F90</f>
        <v>40800.000000000015</v>
      </c>
      <c r="F23" s="173">
        <f>'Size Distribution Proxy (1)'!F116-'Size Distribution Proxy (1)'!F113</f>
        <v>19863</v>
      </c>
      <c r="G23" s="178">
        <f>'Size Distribution Proxy (1)'!F120</f>
        <v>20937.000000000015</v>
      </c>
      <c r="H23" s="171">
        <f>'Size Distribution Proxy (1)'!F121</f>
        <v>3.3104999999999996E-2</v>
      </c>
      <c r="I23" s="172">
        <f>'Size Distribution Proxy (1)'!F122</f>
        <v>0.29210294117647051</v>
      </c>
    </row>
    <row r="24" spans="1:9" x14ac:dyDescent="0.35">
      <c r="A24" s="209">
        <v>0.8</v>
      </c>
      <c r="B24" s="210">
        <v>0.15</v>
      </c>
      <c r="C24" s="210">
        <v>0.05</v>
      </c>
      <c r="D24" s="169">
        <f>Budget!$C$85</f>
        <v>600000.00000000012</v>
      </c>
      <c r="E24" s="169">
        <f>'Size Distribution Proxy (2)'!F90</f>
        <v>39150.000000000015</v>
      </c>
      <c r="F24" s="173">
        <f>'Size Distribution Proxy (2)'!F116-'Size Distribution Proxy (2)'!F113</f>
        <v>19863</v>
      </c>
      <c r="G24" s="178">
        <f>'Size Distribution Proxy (2)'!F120</f>
        <v>19287.000000000015</v>
      </c>
      <c r="H24" s="171">
        <f>'Size Distribution Proxy (2)'!F121</f>
        <v>3.3104999999999996E-2</v>
      </c>
      <c r="I24" s="172">
        <f>'Size Distribution Proxy (2)'!F122</f>
        <v>0.30441379310344829</v>
      </c>
    </row>
    <row r="25" spans="1:9" x14ac:dyDescent="0.35">
      <c r="A25" s="211">
        <v>0.7</v>
      </c>
      <c r="B25" s="211">
        <v>0.2</v>
      </c>
      <c r="C25" s="211">
        <v>0.1</v>
      </c>
      <c r="D25" s="169">
        <f>Budget!$C$85</f>
        <v>600000.00000000012</v>
      </c>
      <c r="E25" s="169">
        <f>'Size Distribution Proxy (3)'!F90</f>
        <v>37500.000000000007</v>
      </c>
      <c r="F25" s="173">
        <f>'Size Distribution Proxy (3)'!F116-'Size Distribution Proxy (3)'!F113</f>
        <v>19863</v>
      </c>
      <c r="G25" s="178">
        <f>'Size Distribution Proxy (3)'!F120</f>
        <v>17637.000000000007</v>
      </c>
      <c r="H25" s="171">
        <f>'Size Distribution Proxy (3)'!F121</f>
        <v>3.3104999999999996E-2</v>
      </c>
      <c r="I25" s="172">
        <f>'Size Distribution Proxy (3)'!F122</f>
        <v>0.31780799999999998</v>
      </c>
    </row>
    <row r="26" spans="1:9" x14ac:dyDescent="0.35">
      <c r="A26" s="209">
        <v>0.6</v>
      </c>
      <c r="B26" s="210">
        <v>0.25</v>
      </c>
      <c r="C26" s="210">
        <v>0.15</v>
      </c>
      <c r="D26" s="169">
        <f>Budget!$C$85</f>
        <v>600000.00000000012</v>
      </c>
      <c r="E26" s="169">
        <f>'Size Distribution Proxy (4)'!F90</f>
        <v>35850.000000000007</v>
      </c>
      <c r="F26" s="173">
        <f>'Size Distribution Proxy (4)'!F116-'Size Distribution Proxy (4)'!F113</f>
        <v>19863</v>
      </c>
      <c r="G26" s="178">
        <f>'Size Distribution Proxy (4)'!F120</f>
        <v>15987.000000000007</v>
      </c>
      <c r="H26" s="171">
        <f>'Size Distribution Proxy (4)'!F121</f>
        <v>3.3104999999999996E-2</v>
      </c>
      <c r="I26" s="172">
        <f>'Size Distribution Proxy (4)'!F122</f>
        <v>0.33243514644351463</v>
      </c>
    </row>
    <row r="27" spans="1:9" x14ac:dyDescent="0.35">
      <c r="A27" s="209">
        <v>0.5</v>
      </c>
      <c r="B27" s="210">
        <v>0.3</v>
      </c>
      <c r="C27" s="210">
        <v>0.2</v>
      </c>
      <c r="D27" s="169">
        <f>Budget!$C$85</f>
        <v>600000.00000000012</v>
      </c>
      <c r="E27" s="169">
        <f>'Size Distribution Proxy (5)'!F90</f>
        <v>34200.000000000007</v>
      </c>
      <c r="F27" s="173">
        <f>'Size Distribution Proxy (5)'!F116-'Size Distribution Proxy (5)'!F113</f>
        <v>19863</v>
      </c>
      <c r="G27" s="178">
        <f>'Size Distribution Proxy (5)'!F120</f>
        <v>14337.000000000007</v>
      </c>
      <c r="H27" s="171">
        <f>'Size Distribution Proxy (5)'!F121</f>
        <v>3.3104999999999996E-2</v>
      </c>
      <c r="I27" s="172">
        <f>'Size Distribution Proxy (5)'!F122</f>
        <v>0.34847368421052627</v>
      </c>
    </row>
    <row r="28" spans="1:9" x14ac:dyDescent="0.35">
      <c r="A28" s="209">
        <v>0.4</v>
      </c>
      <c r="B28" s="210">
        <v>0.35</v>
      </c>
      <c r="C28" s="210">
        <v>0.25</v>
      </c>
      <c r="D28" s="169">
        <f>Budget!$C$85</f>
        <v>600000.00000000012</v>
      </c>
      <c r="E28" s="169">
        <f>'Size Distribution Proxy (6)'!F90</f>
        <v>32550.000000000007</v>
      </c>
      <c r="F28" s="173">
        <f>'Size Distribution Proxy (6)'!F116-'Size Distribution Proxy (6)'!F113</f>
        <v>19863</v>
      </c>
      <c r="G28" s="178">
        <f>'Size Distribution Proxy (6)'!F120</f>
        <v>12687.000000000007</v>
      </c>
      <c r="H28" s="171">
        <f>'Size Distribution Proxy (6)'!F121</f>
        <v>3.3104999999999996E-2</v>
      </c>
      <c r="I28" s="172">
        <f>'Size Distribution Proxy (6)'!F122</f>
        <v>0.36613824884792628</v>
      </c>
    </row>
    <row r="29" spans="1:9" x14ac:dyDescent="0.35">
      <c r="A29" s="209">
        <v>0.3</v>
      </c>
      <c r="B29" s="210">
        <v>0.4</v>
      </c>
      <c r="C29" s="210">
        <v>0.3</v>
      </c>
      <c r="D29" s="169">
        <f>Budget!$C$85</f>
        <v>600000.00000000012</v>
      </c>
      <c r="E29" s="169">
        <f>'Size Distribution Proxy (7)'!F90</f>
        <v>30900.000000000007</v>
      </c>
      <c r="F29" s="173">
        <f>'Size Distribution Proxy (7)'!F116-'Size Distribution Proxy (7)'!F113</f>
        <v>19863</v>
      </c>
      <c r="G29" s="178">
        <f>'Size Distribution Proxy (7)'!F120</f>
        <v>11037.000000000007</v>
      </c>
      <c r="H29" s="171">
        <f>'Size Distribution Proxy (7)'!F121</f>
        <v>3.3104999999999996E-2</v>
      </c>
      <c r="I29" s="172">
        <f>'Size Distribution Proxy (7)'!F122</f>
        <v>0.38568932038834941</v>
      </c>
    </row>
    <row r="30" spans="1:9" x14ac:dyDescent="0.35">
      <c r="A30" s="209">
        <v>0.2</v>
      </c>
      <c r="B30" s="210">
        <v>0.45</v>
      </c>
      <c r="C30" s="210">
        <v>0.35</v>
      </c>
      <c r="D30" s="169">
        <f>Budget!$C$85</f>
        <v>600000.00000000012</v>
      </c>
      <c r="E30" s="169">
        <f>'Size Distribution Proxy (8)'!$F$90</f>
        <v>29250.000000000007</v>
      </c>
      <c r="F30" s="173">
        <f>'Size Distribution Proxy (8)'!F116-'Size Distribution Proxy (8)'!F113</f>
        <v>19863</v>
      </c>
      <c r="G30" s="178">
        <f>'Size Distribution Proxy (8)'!F120</f>
        <v>9387.0000000000073</v>
      </c>
      <c r="H30" s="171">
        <f>'Size Distribution Proxy (8)'!F121</f>
        <v>3.3104999999999996E-2</v>
      </c>
      <c r="I30" s="172">
        <f>'Size Distribution Proxy (8)'!F122</f>
        <v>0.40744615384615379</v>
      </c>
    </row>
    <row r="31" spans="1:9" x14ac:dyDescent="0.35">
      <c r="A31" s="209">
        <v>0.1</v>
      </c>
      <c r="B31" s="210">
        <v>0.5</v>
      </c>
      <c r="C31" s="210">
        <v>0.4</v>
      </c>
      <c r="D31" s="169">
        <f>Budget!$C$85</f>
        <v>600000.00000000012</v>
      </c>
      <c r="E31" s="169">
        <f>'Size Distribution Proxy (9)'!F91</f>
        <v>27600.000000000011</v>
      </c>
      <c r="F31" s="173">
        <f>'Size Distribution Proxy (9)'!F117-'Size Distribution Proxy (9)'!F114</f>
        <v>19863</v>
      </c>
      <c r="G31" s="179">
        <f>'Size Distribution Proxy (9)'!F121</f>
        <v>7737.0000000000109</v>
      </c>
      <c r="H31" s="171">
        <f>'Size Distribution Proxy (9)'!F122</f>
        <v>3.3104999999999996E-2</v>
      </c>
      <c r="I31" s="172">
        <f>'Size Distribution Proxy (9)'!F123</f>
        <v>0.43180434782608695</v>
      </c>
    </row>
    <row r="70" spans="1:2" x14ac:dyDescent="0.35">
      <c r="A70" t="s">
        <v>47</v>
      </c>
      <c r="B70" t="s">
        <v>101</v>
      </c>
    </row>
    <row r="71" spans="1:2" x14ac:dyDescent="0.35">
      <c r="A71">
        <f>Budget!H7</f>
        <v>7.0000000000000007E-2</v>
      </c>
      <c r="B71" s="65">
        <f>Budget!E13</f>
        <v>0.7</v>
      </c>
    </row>
    <row r="72" spans="1:2" x14ac:dyDescent="0.35">
      <c r="A72">
        <f>Budget!H8</f>
        <v>0.05</v>
      </c>
      <c r="B72" s="65">
        <f>Budget!E14</f>
        <v>0.2</v>
      </c>
    </row>
    <row r="73" spans="1:2" x14ac:dyDescent="0.35">
      <c r="A73">
        <f>Budget!H9</f>
        <v>3.5000000000000003E-2</v>
      </c>
      <c r="B73" s="65">
        <f>Budget!E15</f>
        <v>0.1</v>
      </c>
    </row>
  </sheetData>
  <sheetProtection algorithmName="SHA-512" hashValue="qnxJlUvWQxxbjC9Envi1Z439QtZfOkIL/y78ATdp9gTKJ3ivE4PhklmZFddv75Xua1ONdT6rsm71ffq3k70LBQ==" saltValue="fxEBDMJMt4Tg9BwmTG/+TQ==" spinCount="100000" sheet="1" objects="1" scenarios="1"/>
  <mergeCells count="5">
    <mergeCell ref="A1:I1"/>
    <mergeCell ref="A3:I3"/>
    <mergeCell ref="A5:C5"/>
    <mergeCell ref="A19:I19"/>
    <mergeCell ref="A21:C21"/>
  </mergeCells>
  <phoneticPr fontId="2" type="noConversion"/>
  <conditionalFormatting sqref="G7:G17">
    <cfRule type="cellIs" dxfId="9" priority="5" operator="lessThan">
      <formula>0</formula>
    </cfRule>
  </conditionalFormatting>
  <conditionalFormatting sqref="G23:G31">
    <cfRule type="cellIs" dxfId="8" priority="4" operator="lessThan">
      <formula>0</formula>
    </cfRule>
  </conditionalFormatting>
  <pageMargins left="0.75" right="0.75" top="1" bottom="1" header="0.5" footer="0.5"/>
  <pageSetup scale="86" orientation="landscape" horizontalDpi="4294967292" verticalDpi="4294967292" r:id="rId1"/>
  <headerFooter alignWithMargins="0"/>
  <rowBreaks count="2" manualBreakCount="2">
    <brk id="31" max="16383" man="1"/>
    <brk id="5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94"/>
  <sheetViews>
    <sheetView zoomScaleNormal="100" workbookViewId="0">
      <selection activeCell="E6" sqref="E6"/>
    </sheetView>
  </sheetViews>
  <sheetFormatPr defaultColWidth="11" defaultRowHeight="15.5" x14ac:dyDescent="0.35"/>
  <cols>
    <col min="1" max="1" width="20.58203125" customWidth="1"/>
    <col min="2" max="2" width="18.58203125" bestFit="1" customWidth="1"/>
    <col min="3" max="3" width="12" bestFit="1" customWidth="1"/>
    <col min="4" max="4" width="12.25" bestFit="1" customWidth="1"/>
    <col min="5" max="5" width="12" customWidth="1"/>
    <col min="6" max="6" width="13" bestFit="1" customWidth="1"/>
    <col min="7" max="7" width="18.25" bestFit="1" customWidth="1"/>
    <col min="8" max="8" width="17.08203125" bestFit="1" customWidth="1"/>
    <col min="9" max="9" width="17.5" bestFit="1" customWidth="1"/>
  </cols>
  <sheetData>
    <row r="1" spans="1:9" ht="21" x14ac:dyDescent="0.5">
      <c r="A1" s="254" t="s">
        <v>155</v>
      </c>
      <c r="B1" s="254"/>
      <c r="C1" s="254"/>
      <c r="D1" s="254"/>
      <c r="E1" s="254"/>
      <c r="F1" s="254"/>
      <c r="G1" s="254"/>
    </row>
    <row r="2" spans="1:9" ht="18.5" x14ac:dyDescent="0.45">
      <c r="A2" s="70"/>
      <c r="B2" s="70"/>
      <c r="C2" s="70"/>
      <c r="D2" s="83"/>
      <c r="E2" s="70"/>
      <c r="F2" s="70"/>
      <c r="G2" s="70"/>
    </row>
    <row r="3" spans="1:9" ht="18.5" x14ac:dyDescent="0.45">
      <c r="A3" s="255" t="s">
        <v>94</v>
      </c>
      <c r="B3" s="255"/>
      <c r="C3" s="255"/>
      <c r="D3" s="255"/>
      <c r="E3" s="255"/>
      <c r="F3" s="255"/>
      <c r="G3" s="255"/>
    </row>
    <row r="4" spans="1:9" s="185" customFormat="1" ht="29.5" thickBot="1" x14ac:dyDescent="0.4">
      <c r="A4" s="122" t="s">
        <v>46</v>
      </c>
      <c r="B4" s="184" t="s">
        <v>89</v>
      </c>
      <c r="C4" s="122" t="s">
        <v>106</v>
      </c>
      <c r="D4" s="122" t="s">
        <v>90</v>
      </c>
      <c r="E4" s="122" t="s">
        <v>42</v>
      </c>
      <c r="F4" s="122" t="s">
        <v>43</v>
      </c>
      <c r="G4" s="122" t="s">
        <v>134</v>
      </c>
      <c r="H4" s="187"/>
      <c r="I4" s="187"/>
    </row>
    <row r="5" spans="1:9" hidden="1" x14ac:dyDescent="0.35">
      <c r="A5" s="1">
        <v>6.0000000000000001E-3</v>
      </c>
      <c r="B5" s="4">
        <f>Budget!C85</f>
        <v>600000.00000000012</v>
      </c>
      <c r="C5" s="10">
        <f>Budget!E108</f>
        <v>20778.466666666667</v>
      </c>
      <c r="D5" s="10">
        <f>Budget!E85</f>
        <v>37500.000000000007</v>
      </c>
      <c r="E5" s="10">
        <f>Budget!E116</f>
        <v>16721.53333333334</v>
      </c>
      <c r="F5" s="74">
        <f>Budget!E117</f>
        <v>3.4630777777777774E-2</v>
      </c>
      <c r="G5" s="14">
        <f>Budget!E118</f>
        <v>0.3324554666666667</v>
      </c>
    </row>
    <row r="6" spans="1:9" x14ac:dyDescent="0.35">
      <c r="A6" s="99">
        <f>Budget!L127</f>
        <v>2E-3</v>
      </c>
      <c r="B6" s="100">
        <f>Budget!M127</f>
        <v>600000.00000000012</v>
      </c>
      <c r="C6" s="95">
        <f>Budget!N127</f>
        <v>37500.000000000007</v>
      </c>
      <c r="D6" s="95">
        <f>Budget!O127</f>
        <v>16778.466666666667</v>
      </c>
      <c r="E6" s="95">
        <f>Budget!P127</f>
        <v>20721.53333333334</v>
      </c>
      <c r="F6" s="89">
        <f>Budget!Q127</f>
        <v>2.7964111111111106E-2</v>
      </c>
      <c r="G6" s="101">
        <f>Budget!R127</f>
        <v>0.2684554666666667</v>
      </c>
    </row>
    <row r="7" spans="1:9" x14ac:dyDescent="0.35">
      <c r="A7" s="99">
        <f>Budget!L128</f>
        <v>3.0000000000000001E-3</v>
      </c>
      <c r="B7" s="100">
        <f>Budget!M128</f>
        <v>600000.00000000012</v>
      </c>
      <c r="C7" s="95">
        <f>Budget!N128</f>
        <v>37500.000000000007</v>
      </c>
      <c r="D7" s="95">
        <f>Budget!O128</f>
        <v>17778.466666666667</v>
      </c>
      <c r="E7" s="95">
        <f>Budget!P128</f>
        <v>19721.53333333334</v>
      </c>
      <c r="F7" s="89">
        <f>Budget!Q128</f>
        <v>2.9630777777777773E-2</v>
      </c>
      <c r="G7" s="101">
        <f>Budget!R128</f>
        <v>0.28445546666666666</v>
      </c>
    </row>
    <row r="8" spans="1:9" x14ac:dyDescent="0.35">
      <c r="A8" s="99">
        <f>Budget!L129</f>
        <v>4.0000000000000001E-3</v>
      </c>
      <c r="B8" s="100">
        <f>Budget!M129</f>
        <v>600000.00000000012</v>
      </c>
      <c r="C8" s="95">
        <f>Budget!N129</f>
        <v>37500.000000000007</v>
      </c>
      <c r="D8" s="95">
        <f>Budget!O129</f>
        <v>18778.466666666667</v>
      </c>
      <c r="E8" s="95">
        <f>Budget!P129</f>
        <v>18721.53333333334</v>
      </c>
      <c r="F8" s="89">
        <f>Budget!Q129</f>
        <v>3.129744444444444E-2</v>
      </c>
      <c r="G8" s="101">
        <f>Budget!R129</f>
        <v>0.30045546666666667</v>
      </c>
    </row>
    <row r="9" spans="1:9" x14ac:dyDescent="0.35">
      <c r="A9" s="99">
        <f>Budget!L130</f>
        <v>5.0000000000000001E-3</v>
      </c>
      <c r="B9" s="100">
        <f>Budget!M130</f>
        <v>600000.00000000012</v>
      </c>
      <c r="C9" s="95">
        <f>Budget!N130</f>
        <v>37500.000000000007</v>
      </c>
      <c r="D9" s="95">
        <f>Budget!O130</f>
        <v>19778.466666666667</v>
      </c>
      <c r="E9" s="95">
        <f>Budget!P130</f>
        <v>17721.53333333334</v>
      </c>
      <c r="F9" s="89">
        <f>Budget!Q130</f>
        <v>3.2964111111111104E-2</v>
      </c>
      <c r="G9" s="101">
        <f>Budget!R130</f>
        <v>0.31645546666666668</v>
      </c>
    </row>
    <row r="10" spans="1:9" x14ac:dyDescent="0.35">
      <c r="A10" s="99">
        <f>Budget!L131</f>
        <v>6.0000000000000001E-3</v>
      </c>
      <c r="B10" s="100">
        <f>Budget!M131</f>
        <v>600000.00000000012</v>
      </c>
      <c r="C10" s="95">
        <f>Budget!N131</f>
        <v>37500.000000000007</v>
      </c>
      <c r="D10" s="95">
        <f>Budget!O131</f>
        <v>20778.466666666667</v>
      </c>
      <c r="E10" s="95">
        <f>Budget!P131</f>
        <v>16721.53333333334</v>
      </c>
      <c r="F10" s="89">
        <f>Budget!Q131</f>
        <v>3.4630777777777774E-2</v>
      </c>
      <c r="G10" s="101">
        <f>Budget!R131</f>
        <v>0.3324554666666667</v>
      </c>
    </row>
    <row r="11" spans="1:9" x14ac:dyDescent="0.35">
      <c r="A11" s="99">
        <f>Budget!L132</f>
        <v>7.0000000000000001E-3</v>
      </c>
      <c r="B11" s="100">
        <f>Budget!M132</f>
        <v>600000.00000000012</v>
      </c>
      <c r="C11" s="95">
        <f>Budget!N132</f>
        <v>37500.000000000007</v>
      </c>
      <c r="D11" s="95">
        <f>Budget!O132</f>
        <v>21778.466666666667</v>
      </c>
      <c r="E11" s="95">
        <f>Budget!P132</f>
        <v>15721.53333333334</v>
      </c>
      <c r="F11" s="89">
        <f>Budget!Q132</f>
        <v>3.6297444444444438E-2</v>
      </c>
      <c r="G11" s="101">
        <f>Budget!R132</f>
        <v>0.34845546666666666</v>
      </c>
    </row>
    <row r="12" spans="1:9" x14ac:dyDescent="0.35">
      <c r="A12" s="99">
        <f>Budget!L133</f>
        <v>8.0000000000000002E-3</v>
      </c>
      <c r="B12" s="100">
        <f>Budget!M133</f>
        <v>600000.00000000012</v>
      </c>
      <c r="C12" s="95">
        <f>Budget!N133</f>
        <v>37500.000000000007</v>
      </c>
      <c r="D12" s="95">
        <f>Budget!O133</f>
        <v>22778.466666666667</v>
      </c>
      <c r="E12" s="95">
        <f>Budget!P133</f>
        <v>14721.53333333334</v>
      </c>
      <c r="F12" s="89">
        <f>Budget!Q133</f>
        <v>3.7964111111111101E-2</v>
      </c>
      <c r="G12" s="101">
        <f>Budget!R133</f>
        <v>0.36445546666666667</v>
      </c>
    </row>
    <row r="13" spans="1:9" x14ac:dyDescent="0.35">
      <c r="A13" s="99">
        <f>Budget!L134</f>
        <v>8.9999999999999993E-3</v>
      </c>
      <c r="B13" s="100">
        <f>Budget!M134</f>
        <v>600000.00000000012</v>
      </c>
      <c r="C13" s="95">
        <f>Budget!N134</f>
        <v>37500.000000000007</v>
      </c>
      <c r="D13" s="95">
        <f>Budget!O134</f>
        <v>23778.466666666667</v>
      </c>
      <c r="E13" s="95">
        <f>Budget!P134</f>
        <v>13721.53333333334</v>
      </c>
      <c r="F13" s="89">
        <f>Budget!Q134</f>
        <v>3.9630777777777772E-2</v>
      </c>
      <c r="G13" s="101">
        <f>Budget!R134</f>
        <v>0.38045546666666669</v>
      </c>
    </row>
    <row r="14" spans="1:9" x14ac:dyDescent="0.35">
      <c r="A14" s="99">
        <f>Budget!L135</f>
        <v>0.01</v>
      </c>
      <c r="B14" s="100">
        <f>Budget!M135</f>
        <v>600000.00000000012</v>
      </c>
      <c r="C14" s="95">
        <f>Budget!N135</f>
        <v>37500.000000000007</v>
      </c>
      <c r="D14" s="95">
        <f>Budget!O135</f>
        <v>24778.466666666667</v>
      </c>
      <c r="E14" s="95">
        <f>Budget!P135</f>
        <v>12721.53333333334</v>
      </c>
      <c r="F14" s="89">
        <f>Budget!Q135</f>
        <v>4.1297444444444435E-2</v>
      </c>
      <c r="G14" s="101">
        <f>Budget!R135</f>
        <v>0.3964554666666667</v>
      </c>
    </row>
    <row r="15" spans="1:9" x14ac:dyDescent="0.35">
      <c r="A15" s="99">
        <f>Budget!L136</f>
        <v>1.0999999999999999E-2</v>
      </c>
      <c r="B15" s="100">
        <f>Budget!M136</f>
        <v>600000.00000000012</v>
      </c>
      <c r="C15" s="95">
        <f>Budget!N136</f>
        <v>37500.000000000007</v>
      </c>
      <c r="D15" s="95">
        <f>Budget!O136</f>
        <v>25778.466666666667</v>
      </c>
      <c r="E15" s="95">
        <f>Budget!P136</f>
        <v>11721.53333333334</v>
      </c>
      <c r="F15" s="89">
        <f>Budget!Q136</f>
        <v>4.2964111111111106E-2</v>
      </c>
      <c r="G15" s="101">
        <f>Budget!R136</f>
        <v>0.41245546666666666</v>
      </c>
    </row>
    <row r="16" spans="1:9" x14ac:dyDescent="0.35">
      <c r="A16" s="99">
        <f>Budget!L137</f>
        <v>1.2E-2</v>
      </c>
      <c r="B16" s="100">
        <f>Budget!M137</f>
        <v>600000.00000000012</v>
      </c>
      <c r="C16" s="95">
        <f>Budget!N137</f>
        <v>37500.000000000007</v>
      </c>
      <c r="D16" s="95">
        <f>Budget!O137</f>
        <v>26778.466666666667</v>
      </c>
      <c r="E16" s="95">
        <f>Budget!P137</f>
        <v>10721.53333333334</v>
      </c>
      <c r="F16" s="89">
        <f>Budget!Q137</f>
        <v>4.4630777777777769E-2</v>
      </c>
      <c r="G16" s="101">
        <f>Budget!R137</f>
        <v>0.42845546666666667</v>
      </c>
    </row>
    <row r="17" spans="1:7" x14ac:dyDescent="0.35">
      <c r="A17" s="99">
        <f>Budget!L138</f>
        <v>1.2999999999999999E-2</v>
      </c>
      <c r="B17" s="100">
        <f>Budget!M138</f>
        <v>600000.00000000012</v>
      </c>
      <c r="C17" s="95">
        <f>Budget!N138</f>
        <v>37500.000000000007</v>
      </c>
      <c r="D17" s="95">
        <f>Budget!O138</f>
        <v>27778.466666666667</v>
      </c>
      <c r="E17" s="95">
        <f>Budget!P138</f>
        <v>9721.5333333333401</v>
      </c>
      <c r="F17" s="89">
        <f>Budget!Q138</f>
        <v>4.629744444444444E-2</v>
      </c>
      <c r="G17" s="101">
        <f>Budget!R138</f>
        <v>0.44445546666666669</v>
      </c>
    </row>
    <row r="18" spans="1:7" x14ac:dyDescent="0.35">
      <c r="A18" s="99">
        <f>Budget!L139</f>
        <v>1.4E-2</v>
      </c>
      <c r="B18" s="100">
        <f>Budget!M139</f>
        <v>600000.00000000012</v>
      </c>
      <c r="C18" s="95">
        <f>Budget!N139</f>
        <v>37500.000000000007</v>
      </c>
      <c r="D18" s="95">
        <f>Budget!O139</f>
        <v>28778.466666666667</v>
      </c>
      <c r="E18" s="95">
        <f>Budget!P139</f>
        <v>8721.5333333333401</v>
      </c>
      <c r="F18" s="89">
        <f>Budget!Q139</f>
        <v>4.7964111111111103E-2</v>
      </c>
      <c r="G18" s="101">
        <f>Budget!R139</f>
        <v>0.4604554666666667</v>
      </c>
    </row>
    <row r="19" spans="1:7" x14ac:dyDescent="0.35">
      <c r="A19" s="99">
        <f>Budget!L140</f>
        <v>1.4999999999999999E-2</v>
      </c>
      <c r="B19" s="100">
        <f>Budget!M140</f>
        <v>600000.00000000012</v>
      </c>
      <c r="C19" s="95">
        <f>Budget!N140</f>
        <v>37500.000000000007</v>
      </c>
      <c r="D19" s="95">
        <f>Budget!O140</f>
        <v>29778.466666666667</v>
      </c>
      <c r="E19" s="95">
        <f>Budget!P140</f>
        <v>7721.5333333333401</v>
      </c>
      <c r="F19" s="89">
        <f>Budget!Q140</f>
        <v>4.9630777777777767E-2</v>
      </c>
      <c r="G19" s="101">
        <f>Budget!R140</f>
        <v>0.47645546666666666</v>
      </c>
    </row>
    <row r="20" spans="1:7" x14ac:dyDescent="0.35">
      <c r="A20" s="77"/>
      <c r="B20" s="71"/>
      <c r="C20" s="73"/>
      <c r="D20" s="73"/>
      <c r="E20" s="73"/>
      <c r="F20" s="74"/>
      <c r="G20" s="14"/>
    </row>
    <row r="21" spans="1:7" x14ac:dyDescent="0.35">
      <c r="A21" s="77"/>
      <c r="B21" s="71"/>
      <c r="C21" s="73"/>
      <c r="D21" s="73"/>
      <c r="E21" s="73"/>
      <c r="F21" s="74"/>
      <c r="G21" s="14"/>
    </row>
    <row r="22" spans="1:7" x14ac:dyDescent="0.35">
      <c r="A22" s="77"/>
      <c r="B22" s="71"/>
      <c r="C22" s="73"/>
      <c r="D22" s="73"/>
      <c r="E22" s="73"/>
      <c r="F22" s="74"/>
      <c r="G22" s="14"/>
    </row>
    <row r="23" spans="1:7" ht="18.5" x14ac:dyDescent="0.45">
      <c r="A23" s="259" t="s">
        <v>95</v>
      </c>
      <c r="B23" s="259"/>
      <c r="C23" s="259"/>
      <c r="D23" s="259"/>
      <c r="E23" s="259"/>
      <c r="F23" s="259"/>
      <c r="G23" s="259"/>
    </row>
    <row r="24" spans="1:7" ht="29.5" thickBot="1" x14ac:dyDescent="0.4">
      <c r="A24" s="122" t="s">
        <v>92</v>
      </c>
      <c r="B24" s="184" t="s">
        <v>89</v>
      </c>
      <c r="C24" s="122" t="s">
        <v>106</v>
      </c>
      <c r="D24" s="122" t="s">
        <v>90</v>
      </c>
      <c r="E24" s="122" t="s">
        <v>42</v>
      </c>
      <c r="F24" s="122" t="s">
        <v>43</v>
      </c>
      <c r="G24" s="122" t="s">
        <v>134</v>
      </c>
    </row>
    <row r="25" spans="1:7" hidden="1" x14ac:dyDescent="0.35">
      <c r="A25" s="1"/>
      <c r="B25" s="4" t="e">
        <f>#REF!*#REF!</f>
        <v>#REF!</v>
      </c>
      <c r="C25" s="75" t="e">
        <f>#REF!</f>
        <v>#REF!</v>
      </c>
      <c r="D25" s="75"/>
      <c r="E25" s="75" t="e">
        <f>#REF!</f>
        <v>#REF!</v>
      </c>
      <c r="F25" s="72" t="e">
        <f>#REF!</f>
        <v>#REF!</v>
      </c>
      <c r="G25" s="2" t="e">
        <f>#REF!</f>
        <v>#REF!</v>
      </c>
    </row>
    <row r="26" spans="1:7" hidden="1" x14ac:dyDescent="0.35">
      <c r="A26" s="1">
        <f>Budget!L154</f>
        <v>0</v>
      </c>
      <c r="B26" s="1">
        <f>Budget!M154</f>
        <v>600000.00000000012</v>
      </c>
      <c r="C26" s="1">
        <f>Budget!N154</f>
        <v>37500.000000000007</v>
      </c>
      <c r="D26" s="1"/>
      <c r="E26" s="1">
        <f>Budget!O154</f>
        <v>20778.466666666667</v>
      </c>
      <c r="F26" s="1">
        <f>Budget!P154</f>
        <v>16721.53333333334</v>
      </c>
      <c r="G26" s="1">
        <f>Budget!Q154</f>
        <v>3.4630777777777774E-2</v>
      </c>
    </row>
    <row r="27" spans="1:7" x14ac:dyDescent="0.35">
      <c r="A27" s="94">
        <f>Budget!L155</f>
        <v>0.25</v>
      </c>
      <c r="B27" s="111">
        <v>250000</v>
      </c>
      <c r="C27" s="95">
        <v>15625.000000000002</v>
      </c>
      <c r="D27" s="95">
        <v>31613</v>
      </c>
      <c r="E27" s="124">
        <v>-15987.999999999998</v>
      </c>
      <c r="F27" s="88">
        <v>0.12645200000000001</v>
      </c>
      <c r="G27" s="101">
        <v>0.50580800000000004</v>
      </c>
    </row>
    <row r="28" spans="1:7" x14ac:dyDescent="0.35">
      <c r="A28" s="94">
        <f>Budget!L156</f>
        <v>0.3</v>
      </c>
      <c r="B28" s="111">
        <v>300000</v>
      </c>
      <c r="C28" s="95">
        <v>18750</v>
      </c>
      <c r="D28" s="95">
        <v>31613</v>
      </c>
      <c r="E28" s="124">
        <v>-12863</v>
      </c>
      <c r="F28" s="88">
        <v>0.10537666666666666</v>
      </c>
      <c r="G28" s="101">
        <v>0.50580800000000004</v>
      </c>
    </row>
    <row r="29" spans="1:7" x14ac:dyDescent="0.35">
      <c r="A29" s="94">
        <f>Budget!L157</f>
        <v>0.35</v>
      </c>
      <c r="B29" s="111">
        <v>350000</v>
      </c>
      <c r="C29" s="95">
        <v>21875</v>
      </c>
      <c r="D29" s="95">
        <v>31613</v>
      </c>
      <c r="E29" s="124">
        <v>-9738</v>
      </c>
      <c r="F29" s="88">
        <v>9.0322857142857149E-2</v>
      </c>
      <c r="G29" s="101">
        <v>0.50580800000000004</v>
      </c>
    </row>
    <row r="30" spans="1:7" x14ac:dyDescent="0.35">
      <c r="A30" s="94">
        <f>Budget!L158</f>
        <v>0.4</v>
      </c>
      <c r="B30" s="111">
        <v>400000</v>
      </c>
      <c r="C30" s="95">
        <v>25000.000000000004</v>
      </c>
      <c r="D30" s="95">
        <v>31613</v>
      </c>
      <c r="E30" s="124">
        <v>-6612.9999999999964</v>
      </c>
      <c r="F30" s="88">
        <v>7.9032500000000006E-2</v>
      </c>
      <c r="G30" s="101">
        <v>0.50580800000000004</v>
      </c>
    </row>
    <row r="31" spans="1:7" x14ac:dyDescent="0.35">
      <c r="A31" s="94">
        <f>Budget!L159</f>
        <v>0.45</v>
      </c>
      <c r="B31" s="111">
        <v>450000</v>
      </c>
      <c r="C31" s="95">
        <v>28125.000000000004</v>
      </c>
      <c r="D31" s="95">
        <v>31613</v>
      </c>
      <c r="E31" s="124">
        <v>-3487.9999999999964</v>
      </c>
      <c r="F31" s="88">
        <v>7.0251111111111111E-2</v>
      </c>
      <c r="G31" s="101">
        <v>0.50580800000000004</v>
      </c>
    </row>
    <row r="32" spans="1:7" x14ac:dyDescent="0.35">
      <c r="A32" s="94">
        <f>Budget!L160</f>
        <v>0.5</v>
      </c>
      <c r="B32" s="111">
        <v>500000</v>
      </c>
      <c r="C32" s="95">
        <v>31250.000000000004</v>
      </c>
      <c r="D32" s="95">
        <v>31613</v>
      </c>
      <c r="E32" s="124">
        <v>-362.99999999999636</v>
      </c>
      <c r="F32" s="88">
        <v>6.3226000000000004E-2</v>
      </c>
      <c r="G32" s="101">
        <v>0.50580800000000004</v>
      </c>
    </row>
    <row r="33" spans="1:7" x14ac:dyDescent="0.35">
      <c r="A33" s="94">
        <f>Budget!L161</f>
        <v>0.55000000000000004</v>
      </c>
      <c r="B33" s="111">
        <v>550000</v>
      </c>
      <c r="C33" s="95">
        <v>34375.000000000007</v>
      </c>
      <c r="D33" s="95">
        <v>31613</v>
      </c>
      <c r="E33" s="124">
        <v>2762.0000000000073</v>
      </c>
      <c r="F33" s="88">
        <v>5.7478181818181817E-2</v>
      </c>
      <c r="G33" s="101">
        <v>0.50580800000000004</v>
      </c>
    </row>
    <row r="34" spans="1:7" x14ac:dyDescent="0.35">
      <c r="A34" s="94">
        <f>Budget!L162</f>
        <v>0.6</v>
      </c>
      <c r="B34" s="111">
        <v>600000</v>
      </c>
      <c r="C34" s="95">
        <v>37500</v>
      </c>
      <c r="D34" s="95">
        <v>31613</v>
      </c>
      <c r="E34" s="124">
        <v>5887</v>
      </c>
      <c r="F34" s="88">
        <v>5.268833333333333E-2</v>
      </c>
      <c r="G34" s="101">
        <v>0.50580800000000004</v>
      </c>
    </row>
    <row r="35" spans="1:7" s="185" customFormat="1" x14ac:dyDescent="0.35">
      <c r="A35" s="94">
        <f>Budget!L163</f>
        <v>0.65</v>
      </c>
      <c r="B35" s="111">
        <v>650000</v>
      </c>
      <c r="C35" s="95">
        <v>40625</v>
      </c>
      <c r="D35" s="95">
        <v>31613</v>
      </c>
      <c r="E35" s="124">
        <v>9012</v>
      </c>
      <c r="F35" s="88">
        <v>4.8635384615384615E-2</v>
      </c>
      <c r="G35" s="101">
        <v>0.50580800000000004</v>
      </c>
    </row>
    <row r="36" spans="1:7" ht="15.75" hidden="1" customHeight="1" x14ac:dyDescent="0.35">
      <c r="A36" s="94">
        <f>Budget!L164</f>
        <v>0.7</v>
      </c>
      <c r="B36" s="111">
        <v>700000</v>
      </c>
      <c r="C36" s="95">
        <v>43750</v>
      </c>
      <c r="D36" s="95">
        <v>31613</v>
      </c>
      <c r="E36" s="124">
        <v>12137</v>
      </c>
      <c r="F36" s="88">
        <v>4.5161428571428575E-2</v>
      </c>
      <c r="G36" s="101">
        <v>0.50580800000000004</v>
      </c>
    </row>
    <row r="37" spans="1:7" ht="15.75" hidden="1" customHeight="1" x14ac:dyDescent="0.35">
      <c r="A37" s="94">
        <f>Budget!L165</f>
        <v>0.75</v>
      </c>
      <c r="B37" s="111">
        <v>750000</v>
      </c>
      <c r="C37" s="95">
        <v>46875</v>
      </c>
      <c r="D37" s="95">
        <v>31613</v>
      </c>
      <c r="E37" s="124">
        <v>15262</v>
      </c>
      <c r="F37" s="88">
        <v>4.215066666666667E-2</v>
      </c>
      <c r="G37" s="101">
        <v>0.50580800000000004</v>
      </c>
    </row>
    <row r="38" spans="1:7" x14ac:dyDescent="0.35">
      <c r="A38" s="94">
        <f>Budget!L166</f>
        <v>0.8</v>
      </c>
      <c r="B38" s="111">
        <v>800000</v>
      </c>
      <c r="C38" s="95">
        <v>50000.000000000007</v>
      </c>
      <c r="D38" s="95">
        <v>31613</v>
      </c>
      <c r="E38" s="124">
        <v>18387.000000000007</v>
      </c>
      <c r="F38" s="88">
        <v>3.9516250000000003E-2</v>
      </c>
      <c r="G38" s="101">
        <v>0.50580800000000004</v>
      </c>
    </row>
    <row r="39" spans="1:7" x14ac:dyDescent="0.35">
      <c r="A39" s="94">
        <f>Budget!L167</f>
        <v>0.85</v>
      </c>
      <c r="B39" s="111">
        <v>850000</v>
      </c>
      <c r="C39" s="95">
        <v>53125.000000000007</v>
      </c>
      <c r="D39" s="95">
        <v>31613</v>
      </c>
      <c r="E39" s="124">
        <v>21512.000000000007</v>
      </c>
      <c r="F39" s="88">
        <v>3.7191764705882355E-2</v>
      </c>
      <c r="G39" s="101">
        <v>0.50580800000000004</v>
      </c>
    </row>
    <row r="40" spans="1:7" x14ac:dyDescent="0.35">
      <c r="A40" s="94">
        <f>Budget!L168</f>
        <v>0.9</v>
      </c>
      <c r="B40" s="111">
        <v>900000</v>
      </c>
      <c r="C40" s="95">
        <v>56250.000000000007</v>
      </c>
      <c r="D40" s="95">
        <v>31613</v>
      </c>
      <c r="E40" s="124">
        <v>24637.000000000007</v>
      </c>
      <c r="F40" s="88">
        <v>3.5125555555555556E-2</v>
      </c>
      <c r="G40" s="101">
        <v>0.50580800000000004</v>
      </c>
    </row>
    <row r="41" spans="1:7" x14ac:dyDescent="0.35">
      <c r="A41" s="94">
        <f>Budget!L169</f>
        <v>0.95</v>
      </c>
      <c r="B41" s="111">
        <v>950000</v>
      </c>
      <c r="C41" s="95">
        <v>59375.000000000007</v>
      </c>
      <c r="D41" s="95">
        <v>31613</v>
      </c>
      <c r="E41" s="124">
        <v>27762.000000000007</v>
      </c>
      <c r="F41" s="88">
        <v>3.327684210526316E-2</v>
      </c>
      <c r="G41" s="101">
        <v>0.50580800000000004</v>
      </c>
    </row>
    <row r="53" spans="1:9" ht="12" customHeight="1" x14ac:dyDescent="0.35">
      <c r="A53" s="79"/>
      <c r="B53" s="80"/>
      <c r="C53" s="81"/>
      <c r="D53" s="81"/>
      <c r="E53" s="81"/>
      <c r="F53" s="78"/>
      <c r="G53" s="79"/>
    </row>
    <row r="55" spans="1:9" ht="24" customHeight="1" x14ac:dyDescent="0.45">
      <c r="A55" s="97"/>
      <c r="B55" s="97"/>
      <c r="C55" s="97"/>
      <c r="D55" s="97"/>
      <c r="E55" s="97"/>
      <c r="F55" s="97"/>
    </row>
    <row r="57" spans="1:9" x14ac:dyDescent="0.35">
      <c r="I57" s="76"/>
    </row>
    <row r="91" spans="1:1" hidden="1" x14ac:dyDescent="0.35">
      <c r="A91" t="s">
        <v>94</v>
      </c>
    </row>
    <row r="92" spans="1:1" hidden="1" x14ac:dyDescent="0.35">
      <c r="A92">
        <f>Budget!H5</f>
        <v>6.0000000000000001E-3</v>
      </c>
    </row>
    <row r="93" spans="1:1" hidden="1" x14ac:dyDescent="0.35">
      <c r="A93" t="s">
        <v>158</v>
      </c>
    </row>
    <row r="94" spans="1:1" hidden="1" x14ac:dyDescent="0.35">
      <c r="A94" s="65">
        <f>Budget!E11</f>
        <v>0.60000000000000009</v>
      </c>
    </row>
  </sheetData>
  <sheetProtection algorithmName="SHA-512" hashValue="IGvldksQnpZCEo9ueYg0f8Ej4RN3MamT0r5w8pj5cr4mPi2p/6SE3fo2LROrsbtO9HvsjEoa0axnyn0HcwTB1A==" saltValue="Rmzn4swJTsoiI5Rmg7K+yg==" spinCount="100000" sheet="1" objects="1" scenarios="1"/>
  <mergeCells count="3">
    <mergeCell ref="A1:G1"/>
    <mergeCell ref="A3:G3"/>
    <mergeCell ref="A23:G23"/>
  </mergeCells>
  <phoneticPr fontId="2" type="noConversion"/>
  <conditionalFormatting sqref="B41 E53:E65536 E24:E41 E1:E22">
    <cfRule type="cellIs" dxfId="7" priority="15" operator="lessThan">
      <formula>0</formula>
    </cfRule>
  </conditionalFormatting>
  <conditionalFormatting sqref="E66:E65536 E24:E25 E53">
    <cfRule type="cellIs" dxfId="6" priority="14" operator="lessThan">
      <formula>0</formula>
    </cfRule>
  </conditionalFormatting>
  <conditionalFormatting sqref="B34:G34">
    <cfRule type="expression" dxfId="5" priority="5">
      <formula>"If A43 is hilighted, then highlight B43:F43"</formula>
    </cfRule>
  </conditionalFormatting>
  <conditionalFormatting sqref="A27:A41">
    <cfRule type="cellIs" dxfId="4" priority="1" stopIfTrue="1" operator="equal">
      <formula>$A$94</formula>
    </cfRule>
  </conditionalFormatting>
  <conditionalFormatting sqref="A6:A19">
    <cfRule type="cellIs" dxfId="3" priority="21" stopIfTrue="1" operator="equal">
      <formula>$A$92</formula>
    </cfRule>
  </conditionalFormatting>
  <pageMargins left="0.75" right="0.75" top="1" bottom="1" header="0.5" footer="0.5"/>
  <pageSetup orientation="landscape" horizontalDpi="4294967292" verticalDpi="4294967292" r:id="rId1"/>
  <headerFooter alignWithMargins="0"/>
  <rowBreaks count="1" manualBreakCount="1">
    <brk id="2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31"/>
  <sheetViews>
    <sheetView view="pageLayout" zoomScaleNormal="100" workbookViewId="0">
      <selection activeCell="A3" sqref="A3:I3"/>
    </sheetView>
  </sheetViews>
  <sheetFormatPr defaultColWidth="11" defaultRowHeight="15.5" x14ac:dyDescent="0.35"/>
  <cols>
    <col min="1" max="3" width="7.08203125" customWidth="1"/>
    <col min="4" max="4" width="17.33203125" bestFit="1" customWidth="1"/>
    <col min="5" max="5" width="12.08203125" bestFit="1" customWidth="1"/>
    <col min="6" max="6" width="11.5" bestFit="1" customWidth="1"/>
    <col min="7" max="7" width="12.08203125" bestFit="1" customWidth="1"/>
    <col min="8" max="8" width="11.83203125" bestFit="1" customWidth="1"/>
    <col min="9" max="9" width="17" customWidth="1"/>
  </cols>
  <sheetData>
    <row r="1" spans="1:9" ht="21" x14ac:dyDescent="0.5">
      <c r="A1" s="254" t="s">
        <v>156</v>
      </c>
      <c r="B1" s="254"/>
      <c r="C1" s="254"/>
      <c r="D1" s="254"/>
      <c r="E1" s="254"/>
      <c r="F1" s="254"/>
      <c r="G1" s="254"/>
      <c r="H1" s="254"/>
      <c r="I1" s="254"/>
    </row>
    <row r="3" spans="1:9" ht="18.5" x14ac:dyDescent="0.45">
      <c r="A3" s="255" t="s">
        <v>47</v>
      </c>
      <c r="B3" s="255"/>
      <c r="C3" s="255"/>
      <c r="D3" s="255"/>
      <c r="E3" s="255"/>
      <c r="F3" s="255"/>
      <c r="G3" s="255"/>
      <c r="H3" s="255"/>
      <c r="I3" s="255"/>
    </row>
    <row r="5" spans="1:9" s="185" customFormat="1" ht="29" x14ac:dyDescent="0.35">
      <c r="A5" s="260" t="s">
        <v>96</v>
      </c>
      <c r="B5" s="260"/>
      <c r="C5" s="260"/>
      <c r="D5" s="188" t="s">
        <v>89</v>
      </c>
      <c r="E5" s="188" t="s">
        <v>106</v>
      </c>
      <c r="F5" s="188" t="s">
        <v>90</v>
      </c>
      <c r="G5" s="188" t="s">
        <v>42</v>
      </c>
      <c r="H5" s="188" t="s">
        <v>43</v>
      </c>
      <c r="I5" s="188" t="s">
        <v>136</v>
      </c>
    </row>
    <row r="6" spans="1:9" ht="16" thickBot="1" x14ac:dyDescent="0.4">
      <c r="A6" s="23" t="s">
        <v>97</v>
      </c>
      <c r="B6" s="23" t="s">
        <v>98</v>
      </c>
      <c r="C6" s="23" t="s">
        <v>99</v>
      </c>
      <c r="D6" s="37"/>
      <c r="E6" s="37"/>
      <c r="F6" s="37"/>
      <c r="G6" s="37"/>
      <c r="H6" s="37"/>
      <c r="I6" s="37"/>
    </row>
    <row r="7" spans="1:9" x14ac:dyDescent="0.35">
      <c r="A7" s="204">
        <v>0.03</v>
      </c>
      <c r="B7" s="205">
        <v>0.01</v>
      </c>
      <c r="C7" s="206">
        <v>1.4999999999999999E-2</v>
      </c>
      <c r="D7" s="84">
        <f>Budget!C85</f>
        <v>600000.00000000012</v>
      </c>
      <c r="E7" s="84">
        <f>'Market Price Proxy (1)'!F90</f>
        <v>14700.000000000002</v>
      </c>
      <c r="F7" s="133">
        <f>$F$8</f>
        <v>20778.466666666667</v>
      </c>
      <c r="G7" s="134">
        <f>'Market Price Proxy (1)'!F125</f>
        <v>-6078.4666666666653</v>
      </c>
      <c r="H7" s="85">
        <f>Budget!E117</f>
        <v>3.4630777777777774E-2</v>
      </c>
      <c r="I7" s="86">
        <f>'Market Price Proxy (1)'!F127</f>
        <v>0.84810068027210883</v>
      </c>
    </row>
    <row r="8" spans="1:9" x14ac:dyDescent="0.35">
      <c r="A8" s="204">
        <v>0.04</v>
      </c>
      <c r="B8" s="205">
        <v>0.02</v>
      </c>
      <c r="C8" s="206">
        <v>0.02</v>
      </c>
      <c r="D8" s="87">
        <f>Budget!C85</f>
        <v>600000.00000000012</v>
      </c>
      <c r="E8" s="87">
        <f>'Market Price Proxy (2)'!F90</f>
        <v>20400.000000000004</v>
      </c>
      <c r="F8" s="133">
        <f>Budget!E108</f>
        <v>20778.466666666667</v>
      </c>
      <c r="G8" s="133">
        <f>'Market Price Proxy (2)'!F125</f>
        <v>-378.46666666666351</v>
      </c>
      <c r="H8" s="89">
        <f>Budget!E117</f>
        <v>3.4630777777777774E-2</v>
      </c>
      <c r="I8" s="90">
        <f>'Market Price Proxy (2)'!F127</f>
        <v>0.6111313725490195</v>
      </c>
    </row>
    <row r="9" spans="1:9" x14ac:dyDescent="0.35">
      <c r="A9" s="204">
        <v>0.05</v>
      </c>
      <c r="B9" s="205">
        <v>0.03</v>
      </c>
      <c r="C9" s="206">
        <v>2.5000000000000001E-2</v>
      </c>
      <c r="D9" s="87">
        <f>Budget!C85</f>
        <v>600000.00000000012</v>
      </c>
      <c r="E9" s="87">
        <f>'Market Price Proxy (3)'!F90</f>
        <v>26100.000000000004</v>
      </c>
      <c r="F9" s="133">
        <f>Budget!E108</f>
        <v>20778.466666666667</v>
      </c>
      <c r="G9" s="133">
        <f>'Market Price Proxy (3)'!F125</f>
        <v>5321.5333333333365</v>
      </c>
      <c r="H9" s="89">
        <f>Budget!E117</f>
        <v>3.4630777777777774E-2</v>
      </c>
      <c r="I9" s="90">
        <f>'Market Price Proxy (3)'!F127</f>
        <v>0.47766590038314183</v>
      </c>
    </row>
    <row r="10" spans="1:9" x14ac:dyDescent="0.35">
      <c r="A10" s="204">
        <v>0.06</v>
      </c>
      <c r="B10" s="205">
        <v>0.04</v>
      </c>
      <c r="C10" s="206">
        <v>0.03</v>
      </c>
      <c r="D10" s="87">
        <f>Budget!C85</f>
        <v>600000.00000000012</v>
      </c>
      <c r="E10" s="87">
        <f>'Market Price Proxy (4)'!F90</f>
        <v>31800.000000000004</v>
      </c>
      <c r="F10" s="133">
        <f>Budget!E108</f>
        <v>20778.466666666667</v>
      </c>
      <c r="G10" s="133">
        <f>'Market Price Proxy (4)'!F125</f>
        <v>11021.533333333336</v>
      </c>
      <c r="H10" s="89">
        <f>Budget!E117</f>
        <v>3.4630777777777774E-2</v>
      </c>
      <c r="I10" s="90">
        <f>'Market Price Proxy (4)'!F127</f>
        <v>0.39204654088050317</v>
      </c>
    </row>
    <row r="11" spans="1:9" x14ac:dyDescent="0.35">
      <c r="A11" s="207">
        <v>7.0000000000000007E-2</v>
      </c>
      <c r="B11" s="207">
        <v>0.05</v>
      </c>
      <c r="C11" s="208">
        <v>3.5000000000000003E-2</v>
      </c>
      <c r="D11" s="87">
        <f>Budget!C85</f>
        <v>600000.00000000012</v>
      </c>
      <c r="E11" s="87">
        <f>'Market Price Proxy (5)'!F90</f>
        <v>37500.000000000007</v>
      </c>
      <c r="F11" s="133">
        <f>Budget!E108</f>
        <v>20778.466666666667</v>
      </c>
      <c r="G11" s="133">
        <f>'Market Price Proxy (5)'!F125</f>
        <v>16721.53333333334</v>
      </c>
      <c r="H11" s="89">
        <f>Budget!E117</f>
        <v>3.4630777777777774E-2</v>
      </c>
      <c r="I11" s="90">
        <f>'Market Price Proxy (5)'!F127</f>
        <v>0.3324554666666667</v>
      </c>
    </row>
    <row r="12" spans="1:9" x14ac:dyDescent="0.35">
      <c r="A12" s="204">
        <v>0.08</v>
      </c>
      <c r="B12" s="205">
        <v>0.06</v>
      </c>
      <c r="C12" s="206">
        <v>0.04</v>
      </c>
      <c r="D12" s="87">
        <f>Budget!C85</f>
        <v>600000.00000000012</v>
      </c>
      <c r="E12" s="87">
        <f>'Market Price Proxy (6)'!F90</f>
        <v>43200.000000000007</v>
      </c>
      <c r="F12" s="133">
        <f>Budget!E108</f>
        <v>20778.466666666667</v>
      </c>
      <c r="G12" s="133">
        <f>'Market Price Proxy (6)'!F125</f>
        <v>22421.53333333334</v>
      </c>
      <c r="H12" s="89">
        <f>Budget!E117</f>
        <v>3.4630777777777774E-2</v>
      </c>
      <c r="I12" s="90">
        <f>'Market Price Proxy (6)'!F127</f>
        <v>0.28858981481481483</v>
      </c>
    </row>
    <row r="13" spans="1:9" x14ac:dyDescent="0.35">
      <c r="A13" s="204">
        <v>0.09</v>
      </c>
      <c r="B13" s="205">
        <v>7.0000000000000007E-2</v>
      </c>
      <c r="C13" s="206">
        <v>4.4999999999999998E-2</v>
      </c>
      <c r="D13" s="87">
        <f>Budget!C85</f>
        <v>600000.00000000012</v>
      </c>
      <c r="E13" s="87">
        <f>'Market Price Proxy (7)'!F90</f>
        <v>48900.000000000015</v>
      </c>
      <c r="F13" s="133">
        <f>Budget!E108</f>
        <v>20778.466666666667</v>
      </c>
      <c r="G13" s="133">
        <f>'Market Price Proxy (7)'!F125</f>
        <v>28121.533333333347</v>
      </c>
      <c r="H13" s="89">
        <f>Budget!E117</f>
        <v>3.4630777777777774E-2</v>
      </c>
      <c r="I13" s="90">
        <f>'Market Price Proxy (7)'!F127</f>
        <v>0.25495051124744378</v>
      </c>
    </row>
    <row r="14" spans="1:9" x14ac:dyDescent="0.35">
      <c r="A14" s="204">
        <v>0.1</v>
      </c>
      <c r="B14" s="205">
        <v>0.08</v>
      </c>
      <c r="C14" s="206">
        <v>0.05</v>
      </c>
      <c r="D14" s="87">
        <f>Budget!C85</f>
        <v>600000.00000000012</v>
      </c>
      <c r="E14" s="87">
        <f>'Market Price Proxy (8)'!F90</f>
        <v>54600.000000000007</v>
      </c>
      <c r="F14" s="133">
        <f>Budget!E108</f>
        <v>20778.466666666667</v>
      </c>
      <c r="G14" s="133">
        <f>'Market Price Proxy (8)'!F125</f>
        <v>33821.53333333334</v>
      </c>
      <c r="H14" s="89">
        <f>Budget!E117</f>
        <v>3.4630777777777774E-2</v>
      </c>
      <c r="I14" s="90">
        <f>'Market Price Proxy (8)'!F127</f>
        <v>0.22833479853479854</v>
      </c>
    </row>
    <row r="15" spans="1:9" x14ac:dyDescent="0.35">
      <c r="A15" s="204">
        <v>0.11</v>
      </c>
      <c r="B15" s="205">
        <v>0.09</v>
      </c>
      <c r="C15" s="206">
        <v>5.5E-2</v>
      </c>
      <c r="D15" s="87">
        <f>Budget!C85</f>
        <v>600000.00000000012</v>
      </c>
      <c r="E15" s="87">
        <f>'Market Price Proxy (9)'!F90</f>
        <v>60300.000000000007</v>
      </c>
      <c r="F15" s="133">
        <f>Budget!E108</f>
        <v>20778.466666666667</v>
      </c>
      <c r="G15" s="133">
        <f>'Market Price Proxy (9)'!F125</f>
        <v>39521.53333333334</v>
      </c>
      <c r="H15" s="89">
        <f>Budget!E117</f>
        <v>3.4630777777777774E-2</v>
      </c>
      <c r="I15" s="90">
        <f>'Market Price Proxy (9)'!F127</f>
        <v>0.20675091210613597</v>
      </c>
    </row>
    <row r="16" spans="1:9" x14ac:dyDescent="0.35">
      <c r="A16" s="204">
        <v>0.12</v>
      </c>
      <c r="B16" s="205">
        <v>0.1</v>
      </c>
      <c r="C16" s="206">
        <v>0.06</v>
      </c>
      <c r="D16" s="87">
        <f>Budget!C85</f>
        <v>600000.00000000012</v>
      </c>
      <c r="E16" s="87">
        <f>'Market Price Proxy (10)'!F90</f>
        <v>66000.000000000015</v>
      </c>
      <c r="F16" s="133">
        <f>Budget!E108</f>
        <v>20778.466666666667</v>
      </c>
      <c r="G16" s="133">
        <f>'Market Price Proxy (10)'!F125</f>
        <v>45221.533333333347</v>
      </c>
      <c r="H16" s="89">
        <f>Budget!E117</f>
        <v>3.4630777777777774E-2</v>
      </c>
      <c r="I16" s="90">
        <f>'Market Price Proxy (10)'!F127</f>
        <v>0.18889515151515152</v>
      </c>
    </row>
    <row r="17" spans="1:9" x14ac:dyDescent="0.35">
      <c r="A17" s="204">
        <v>0.13</v>
      </c>
      <c r="B17" s="205">
        <v>0.11</v>
      </c>
      <c r="C17" s="206">
        <v>6.5000000000000002E-2</v>
      </c>
      <c r="D17" s="87">
        <f>Budget!C85</f>
        <v>600000.00000000012</v>
      </c>
      <c r="E17" s="87">
        <f>'Market Price Proxy (11)'!F90</f>
        <v>71700.000000000015</v>
      </c>
      <c r="F17" s="133">
        <f>Budget!E108</f>
        <v>20778.466666666667</v>
      </c>
      <c r="G17" s="133">
        <f>'Market Price Proxy (11)'!F125</f>
        <v>50921.533333333347</v>
      </c>
      <c r="H17" s="89">
        <f>Budget!E117</f>
        <v>3.4630777777777774E-2</v>
      </c>
      <c r="I17" s="90">
        <f>'Market Price Proxy (11)'!F127</f>
        <v>0.17387838214783821</v>
      </c>
    </row>
    <row r="18" spans="1:9" x14ac:dyDescent="0.35">
      <c r="A18" s="7"/>
      <c r="B18" s="7"/>
      <c r="C18" s="91"/>
      <c r="D18" s="1"/>
      <c r="E18" s="1"/>
      <c r="F18" s="1"/>
      <c r="G18" s="1"/>
      <c r="H18" s="1"/>
      <c r="I18" s="1"/>
    </row>
    <row r="19" spans="1:9" ht="18.5" x14ac:dyDescent="0.45">
      <c r="A19" s="255" t="s">
        <v>101</v>
      </c>
      <c r="B19" s="255"/>
      <c r="C19" s="255"/>
      <c r="D19" s="255"/>
      <c r="E19" s="255"/>
      <c r="F19" s="255"/>
      <c r="G19" s="255"/>
      <c r="H19" s="255"/>
      <c r="I19" s="255"/>
    </row>
    <row r="20" spans="1:9" x14ac:dyDescent="0.35">
      <c r="A20" s="7"/>
      <c r="B20" s="7"/>
      <c r="C20" s="91"/>
      <c r="D20" s="1"/>
      <c r="E20" s="1"/>
      <c r="F20" s="1"/>
      <c r="G20" s="1"/>
      <c r="H20" s="92"/>
      <c r="I20" s="1"/>
    </row>
    <row r="21" spans="1:9" s="185" customFormat="1" ht="29" x14ac:dyDescent="0.35">
      <c r="A21" s="260" t="s">
        <v>100</v>
      </c>
      <c r="B21" s="260"/>
      <c r="C21" s="260"/>
      <c r="D21" s="188" t="s">
        <v>89</v>
      </c>
      <c r="E21" s="188" t="s">
        <v>106</v>
      </c>
      <c r="F21" s="188" t="s">
        <v>90</v>
      </c>
      <c r="G21" s="188" t="s">
        <v>42</v>
      </c>
      <c r="H21" s="188" t="s">
        <v>43</v>
      </c>
      <c r="I21" s="188" t="s">
        <v>135</v>
      </c>
    </row>
    <row r="22" spans="1:9" ht="16" thickBot="1" x14ac:dyDescent="0.4">
      <c r="A22" s="23" t="s">
        <v>97</v>
      </c>
      <c r="B22" s="23" t="s">
        <v>98</v>
      </c>
      <c r="C22" s="23" t="s">
        <v>99</v>
      </c>
      <c r="D22" s="37"/>
      <c r="E22" s="37"/>
      <c r="F22" s="37"/>
      <c r="G22" s="37"/>
      <c r="H22" s="37"/>
      <c r="I22" s="37"/>
    </row>
    <row r="23" spans="1:9" x14ac:dyDescent="0.35">
      <c r="A23" s="112">
        <f>'Cash Cost Sensitivities (2)'!A23</f>
        <v>0.9</v>
      </c>
      <c r="B23" s="112">
        <f>'Cash Cost Sensitivities (2)'!B23</f>
        <v>0.1</v>
      </c>
      <c r="C23" s="112">
        <f>'Cash Cost Sensitivities (2)'!C23</f>
        <v>0</v>
      </c>
      <c r="D23" s="84">
        <f>Budget!C85</f>
        <v>600000.00000000012</v>
      </c>
      <c r="E23" s="84">
        <f>'Size Distribution Proxy (1)'!F90</f>
        <v>40800.000000000015</v>
      </c>
      <c r="F23" s="30">
        <f>Budget!E108</f>
        <v>20778.466666666667</v>
      </c>
      <c r="G23" s="30">
        <f>'Size Distribution Proxy (1)'!F125</f>
        <v>20021.533333333347</v>
      </c>
      <c r="H23" s="93">
        <f>Budget!E117</f>
        <v>3.4630777777777774E-2</v>
      </c>
      <c r="I23" s="86">
        <f>'Size Distribution Proxy (1)'!F127</f>
        <v>0.3055656862745097</v>
      </c>
    </row>
    <row r="24" spans="1:9" x14ac:dyDescent="0.35">
      <c r="A24" s="113">
        <f>'Cash Cost Sensitivities (2)'!A24</f>
        <v>0.8</v>
      </c>
      <c r="B24" s="113">
        <f>'Cash Cost Sensitivities (2)'!B24</f>
        <v>0.15</v>
      </c>
      <c r="C24" s="113">
        <f>'Cash Cost Sensitivities (2)'!C24</f>
        <v>0.05</v>
      </c>
      <c r="D24" s="87">
        <f>Budget!C85</f>
        <v>600000.00000000012</v>
      </c>
      <c r="E24" s="87">
        <f>'Size Distribution Proxy (2)'!F90</f>
        <v>39150.000000000015</v>
      </c>
      <c r="F24" s="29">
        <f>Budget!E108</f>
        <v>20778.466666666667</v>
      </c>
      <c r="G24" s="29">
        <f>'Size Distribution Proxy (2)'!F125</f>
        <v>18371.533333333347</v>
      </c>
      <c r="H24" s="96">
        <f>Budget!E117</f>
        <v>3.4630777777777774E-2</v>
      </c>
      <c r="I24" s="90">
        <f>'Size Distribution Proxy (2)'!F127</f>
        <v>0.31844393358876122</v>
      </c>
    </row>
    <row r="25" spans="1:9" x14ac:dyDescent="0.35">
      <c r="A25" s="113">
        <f>'Cash Cost Sensitivities (2)'!A25</f>
        <v>0.7</v>
      </c>
      <c r="B25" s="113">
        <f>'Cash Cost Sensitivities (2)'!B25</f>
        <v>0.2</v>
      </c>
      <c r="C25" s="113">
        <f>'Cash Cost Sensitivities (2)'!C25</f>
        <v>0.1</v>
      </c>
      <c r="D25" s="87">
        <f>Budget!C85</f>
        <v>600000.00000000012</v>
      </c>
      <c r="E25" s="87">
        <f>'Size Distribution Proxy (3)'!F90</f>
        <v>37500.000000000007</v>
      </c>
      <c r="F25" s="29">
        <f>Budget!E108</f>
        <v>20778.466666666667</v>
      </c>
      <c r="G25" s="29">
        <f>'Size Distribution Proxy (3)'!F125</f>
        <v>16721.53333333334</v>
      </c>
      <c r="H25" s="96">
        <f>Budget!E117</f>
        <v>3.4630777777777774E-2</v>
      </c>
      <c r="I25" s="90">
        <f>'Size Distribution Proxy (3)'!F127</f>
        <v>0.3324554666666667</v>
      </c>
    </row>
    <row r="26" spans="1:9" x14ac:dyDescent="0.35">
      <c r="A26" s="113">
        <f>'Cash Cost Sensitivities (2)'!A26</f>
        <v>0.6</v>
      </c>
      <c r="B26" s="113">
        <f>'Cash Cost Sensitivities (2)'!B26</f>
        <v>0.25</v>
      </c>
      <c r="C26" s="113">
        <f>'Cash Cost Sensitivities (2)'!C26</f>
        <v>0.15</v>
      </c>
      <c r="D26" s="87">
        <f>Budget!C85</f>
        <v>600000.00000000012</v>
      </c>
      <c r="E26" s="87">
        <f>'Size Distribution Proxy (4)'!F90</f>
        <v>35850.000000000007</v>
      </c>
      <c r="F26" s="29">
        <f>Budget!E108</f>
        <v>20778.466666666667</v>
      </c>
      <c r="G26" s="29">
        <f>'Size Distribution Proxy (4)'!F125</f>
        <v>15071.53333333334</v>
      </c>
      <c r="H26" s="96">
        <f>Budget!E117</f>
        <v>3.4630777777777774E-2</v>
      </c>
      <c r="I26" s="90">
        <f>'Size Distribution Proxy (4)'!F127</f>
        <v>0.34775676429567642</v>
      </c>
    </row>
    <row r="27" spans="1:9" x14ac:dyDescent="0.35">
      <c r="A27" s="113">
        <f>'Cash Cost Sensitivities (2)'!A27</f>
        <v>0.5</v>
      </c>
      <c r="B27" s="113">
        <f>'Cash Cost Sensitivities (2)'!B27</f>
        <v>0.3</v>
      </c>
      <c r="C27" s="113">
        <f>'Cash Cost Sensitivities (2)'!C27</f>
        <v>0.2</v>
      </c>
      <c r="D27" s="87">
        <f>Budget!C85</f>
        <v>600000.00000000012</v>
      </c>
      <c r="E27" s="87">
        <f>'Size Distribution Proxy (5)'!F90</f>
        <v>34200.000000000007</v>
      </c>
      <c r="F27" s="29">
        <f>Budget!E108</f>
        <v>20778.466666666667</v>
      </c>
      <c r="G27" s="29">
        <f>'Size Distribution Proxy (5)'!F125</f>
        <v>13421.53333333334</v>
      </c>
      <c r="H27" s="96">
        <f>Budget!E117</f>
        <v>3.4630777777777774E-2</v>
      </c>
      <c r="I27" s="90">
        <f>'Size Distribution Proxy (5)'!F127</f>
        <v>0.36453450292397666</v>
      </c>
    </row>
    <row r="28" spans="1:9" x14ac:dyDescent="0.35">
      <c r="A28" s="113">
        <f>'Cash Cost Sensitivities (2)'!A28</f>
        <v>0.4</v>
      </c>
      <c r="B28" s="113">
        <f>'Cash Cost Sensitivities (2)'!B28</f>
        <v>0.35</v>
      </c>
      <c r="C28" s="113">
        <f>'Cash Cost Sensitivities (2)'!C28</f>
        <v>0.25</v>
      </c>
      <c r="D28" s="87">
        <f>Budget!C85</f>
        <v>600000.00000000012</v>
      </c>
      <c r="E28" s="87">
        <f>'Size Distribution Proxy (6)'!F90</f>
        <v>32550.000000000007</v>
      </c>
      <c r="F28" s="29">
        <f>Budget!E108</f>
        <v>20778.466666666667</v>
      </c>
      <c r="G28" s="29">
        <f>'Size Distribution Proxy (6)'!F125</f>
        <v>11771.53333333334</v>
      </c>
      <c r="H28" s="96">
        <f>Budget!E117</f>
        <v>3.4630777777777774E-2</v>
      </c>
      <c r="I28" s="90">
        <f>'Size Distribution Proxy (6)'!F127</f>
        <v>0.38301321044546854</v>
      </c>
    </row>
    <row r="29" spans="1:9" x14ac:dyDescent="0.35">
      <c r="A29" s="113">
        <f>'Cash Cost Sensitivities (2)'!A29</f>
        <v>0.3</v>
      </c>
      <c r="B29" s="113">
        <f>'Cash Cost Sensitivities (2)'!B29</f>
        <v>0.4</v>
      </c>
      <c r="C29" s="113">
        <f>'Cash Cost Sensitivities (2)'!C29</f>
        <v>0.3</v>
      </c>
      <c r="D29" s="87">
        <f>Budget!C85</f>
        <v>600000.00000000012</v>
      </c>
      <c r="E29" s="87">
        <f>'Size Distribution Proxy (7)'!F90</f>
        <v>30900.000000000007</v>
      </c>
      <c r="F29" s="29">
        <f>Budget!E108</f>
        <v>20778.466666666667</v>
      </c>
      <c r="G29" s="29">
        <f>'Size Distribution Proxy (7)'!F125</f>
        <v>10121.53333333334</v>
      </c>
      <c r="H29" s="89">
        <f>Budget!E117</f>
        <v>3.4630777777777774E-2</v>
      </c>
      <c r="I29" s="90">
        <f>'Size Distribution Proxy (7)'!F127</f>
        <v>0.40346537216828471</v>
      </c>
    </row>
    <row r="30" spans="1:9" x14ac:dyDescent="0.35">
      <c r="A30" s="113">
        <f>'Cash Cost Sensitivities (2)'!A30</f>
        <v>0.2</v>
      </c>
      <c r="B30" s="113">
        <f>'Cash Cost Sensitivities (2)'!B30</f>
        <v>0.45</v>
      </c>
      <c r="C30" s="113">
        <f>'Cash Cost Sensitivities (2)'!C30</f>
        <v>0.35</v>
      </c>
      <c r="D30" s="87">
        <f>Budget!C85</f>
        <v>600000.00000000012</v>
      </c>
      <c r="E30" s="87">
        <f>'Size Distribution Proxy (8)'!F90</f>
        <v>29250.000000000007</v>
      </c>
      <c r="F30" s="29">
        <f>Budget!E108</f>
        <v>20778.466666666667</v>
      </c>
      <c r="G30" s="29">
        <f>'Size Distribution Proxy (8)'!F125</f>
        <v>8471.5333333333401</v>
      </c>
      <c r="H30" s="89">
        <f>Budget!E117</f>
        <v>3.4630777777777774E-2</v>
      </c>
      <c r="I30" s="90">
        <f>'Size Distribution Proxy (8)'!F127</f>
        <v>0.42622495726495724</v>
      </c>
    </row>
    <row r="31" spans="1:9" x14ac:dyDescent="0.35">
      <c r="A31" s="113">
        <f>'Cash Cost Sensitivities (2)'!A31</f>
        <v>0.1</v>
      </c>
      <c r="B31" s="113">
        <f>'Cash Cost Sensitivities (2)'!B31</f>
        <v>0.5</v>
      </c>
      <c r="C31" s="113">
        <f>'Cash Cost Sensitivities (2)'!C31</f>
        <v>0.4</v>
      </c>
      <c r="D31" s="87">
        <f>Budget!C85</f>
        <v>600000.00000000012</v>
      </c>
      <c r="E31" s="87">
        <f>'Size Distribution Proxy (9)'!F91</f>
        <v>27600.000000000011</v>
      </c>
      <c r="F31" s="29">
        <f>Budget!E108</f>
        <v>20778.466666666667</v>
      </c>
      <c r="G31" s="29">
        <f>'Size Distribution Proxy (9)'!F126</f>
        <v>6821.5333333333438</v>
      </c>
      <c r="H31" s="89">
        <f>Budget!E117</f>
        <v>3.4630777777777774E-2</v>
      </c>
      <c r="I31" s="90">
        <f>'Size Distribution Proxy (9)'!F128</f>
        <v>0.45170579710144926</v>
      </c>
    </row>
  </sheetData>
  <sheetProtection algorithmName="SHA-512" hashValue="o/GMCpG1M6cnEYdXaz5fIaXqSfqsq2IgnPyV4s4CuhT9+8+4kSQZIYnHYl4h3JMAVpQa8PMp5sSAUoQHlIokWA==" saltValue="xZ/yid2+kQGNyHeoDkabYA==" spinCount="100000" sheet="1" objects="1" scenarios="1"/>
  <mergeCells count="5">
    <mergeCell ref="A5:C5"/>
    <mergeCell ref="A3:I3"/>
    <mergeCell ref="A21:C21"/>
    <mergeCell ref="A19:I19"/>
    <mergeCell ref="A1:I1"/>
  </mergeCells>
  <phoneticPr fontId="2" type="noConversion"/>
  <conditionalFormatting sqref="A23:A31">
    <cfRule type="cellIs" dxfId="2" priority="18" operator="equal">
      <formula>"BBudget!$D$13"</formula>
    </cfRule>
  </conditionalFormatting>
  <conditionalFormatting sqref="G7:G17">
    <cfRule type="cellIs" dxfId="1" priority="2" operator="lessThan">
      <formula>0</formula>
    </cfRule>
  </conditionalFormatting>
  <conditionalFormatting sqref="G23:G31">
    <cfRule type="cellIs" dxfId="0" priority="1" operator="lessThan">
      <formula>0</formula>
    </cfRule>
  </conditionalFormatting>
  <pageMargins left="1" right="1" top="0.5" bottom="0.5" header="0.5" footer="0.5"/>
  <pageSetup scale="99"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29"/>
  <sheetViews>
    <sheetView topLeftCell="A46" workbookViewId="0">
      <selection activeCell="G79" sqref="G79"/>
    </sheetView>
  </sheetViews>
  <sheetFormatPr defaultColWidth="11" defaultRowHeight="15.5" x14ac:dyDescent="0.35"/>
  <sheetData>
    <row r="3" spans="2:11" x14ac:dyDescent="0.35">
      <c r="B3" s="1"/>
      <c r="C3" s="1"/>
      <c r="D3" s="1"/>
      <c r="E3" s="4"/>
      <c r="F3" s="1"/>
      <c r="G3" s="1"/>
      <c r="H3" s="1"/>
      <c r="I3" s="1"/>
      <c r="J3" s="1"/>
      <c r="K3" s="1"/>
    </row>
    <row r="4" spans="2:11" ht="16" thickBot="1" x14ac:dyDescent="0.4">
      <c r="B4" s="1"/>
      <c r="C4" s="1"/>
      <c r="D4" s="1"/>
      <c r="E4" s="66"/>
      <c r="F4" s="37"/>
      <c r="G4" s="7"/>
      <c r="H4" s="1"/>
      <c r="I4" s="1"/>
      <c r="J4" s="1"/>
      <c r="K4" s="1"/>
    </row>
    <row r="5" spans="2:11" x14ac:dyDescent="0.35">
      <c r="B5" s="1"/>
      <c r="C5" s="1"/>
      <c r="D5" s="18" t="s">
        <v>51</v>
      </c>
      <c r="E5" s="117"/>
      <c r="F5" s="19" t="s">
        <v>50</v>
      </c>
      <c r="G5" s="1"/>
      <c r="H5" s="18" t="s">
        <v>53</v>
      </c>
      <c r="I5" s="19" t="s">
        <v>54</v>
      </c>
      <c r="J5" s="1"/>
      <c r="K5" s="1"/>
    </row>
    <row r="6" spans="2:11" x14ac:dyDescent="0.35">
      <c r="B6" s="1"/>
      <c r="C6" s="1"/>
      <c r="D6" s="239" t="s">
        <v>73</v>
      </c>
      <c r="E6" s="240"/>
      <c r="F6" s="56">
        <f>Budget!E5</f>
        <v>1000000</v>
      </c>
      <c r="G6" s="1"/>
      <c r="H6" s="22" t="s">
        <v>46</v>
      </c>
      <c r="I6" s="62">
        <f>Budget!H5</f>
        <v>6.0000000000000001E-3</v>
      </c>
      <c r="J6" s="1"/>
      <c r="K6" s="1"/>
    </row>
    <row r="7" spans="2:11" x14ac:dyDescent="0.35">
      <c r="B7" s="1"/>
      <c r="C7" s="1"/>
      <c r="D7" s="247" t="s">
        <v>60</v>
      </c>
      <c r="E7" s="248"/>
      <c r="F7" s="57">
        <f>Budget!E6</f>
        <v>10000</v>
      </c>
      <c r="G7" s="1"/>
      <c r="H7" s="43" t="s">
        <v>47</v>
      </c>
      <c r="I7" s="21">
        <f>Budget!H6</f>
        <v>0</v>
      </c>
      <c r="J7" s="1"/>
      <c r="K7" s="1"/>
    </row>
    <row r="8" spans="2:11" x14ac:dyDescent="0.35">
      <c r="B8" s="1"/>
      <c r="C8" s="1"/>
      <c r="D8" s="239" t="s">
        <v>55</v>
      </c>
      <c r="E8" s="240"/>
      <c r="F8" s="82">
        <f>Budget!E7</f>
        <v>1150</v>
      </c>
      <c r="G8" s="1"/>
      <c r="H8" s="20" t="s">
        <v>67</v>
      </c>
      <c r="I8" s="45">
        <f>Budget!H7</f>
        <v>7.0000000000000007E-2</v>
      </c>
      <c r="J8" s="1"/>
      <c r="K8" s="1"/>
    </row>
    <row r="9" spans="2:11" x14ac:dyDescent="0.35">
      <c r="B9" s="1"/>
      <c r="C9" s="1"/>
      <c r="D9" s="239" t="s">
        <v>56</v>
      </c>
      <c r="E9" s="240"/>
      <c r="F9" s="59"/>
      <c r="G9" s="1"/>
      <c r="H9" s="20" t="s">
        <v>62</v>
      </c>
      <c r="I9" s="45">
        <f>Budget!H8</f>
        <v>0.05</v>
      </c>
      <c r="J9" s="1"/>
      <c r="K9" s="1"/>
    </row>
    <row r="10" spans="2:11" ht="16" thickBot="1" x14ac:dyDescent="0.4">
      <c r="B10" s="1"/>
      <c r="C10" s="1"/>
      <c r="D10" s="237" t="s">
        <v>57</v>
      </c>
      <c r="E10" s="238"/>
      <c r="F10" s="60">
        <f>Budget!E9</f>
        <v>0.75</v>
      </c>
      <c r="G10" s="1"/>
      <c r="H10" s="44" t="s">
        <v>63</v>
      </c>
      <c r="I10" s="46">
        <f>Budget!H9</f>
        <v>3.5000000000000003E-2</v>
      </c>
      <c r="J10" s="1"/>
      <c r="K10" s="1"/>
    </row>
    <row r="11" spans="2:11" x14ac:dyDescent="0.35">
      <c r="B11" s="1"/>
      <c r="C11" s="1"/>
      <c r="D11" s="237" t="s">
        <v>58</v>
      </c>
      <c r="E11" s="238"/>
      <c r="F11" s="60">
        <f>Budget!E10</f>
        <v>0.8</v>
      </c>
      <c r="G11" s="1"/>
      <c r="H11" s="17"/>
      <c r="I11" s="1"/>
      <c r="J11" s="1"/>
      <c r="K11" s="1"/>
    </row>
    <row r="12" spans="2:11" x14ac:dyDescent="0.35">
      <c r="B12" s="1"/>
      <c r="C12" s="1"/>
      <c r="D12" s="237" t="s">
        <v>59</v>
      </c>
      <c r="E12" s="238"/>
      <c r="F12" s="132">
        <f>F10*F11</f>
        <v>0.60000000000000009</v>
      </c>
      <c r="G12" s="1"/>
      <c r="H12" s="138"/>
      <c r="I12" s="139"/>
      <c r="J12" s="1"/>
      <c r="K12" s="1"/>
    </row>
    <row r="13" spans="2:11" x14ac:dyDescent="0.35">
      <c r="B13" s="1"/>
      <c r="C13" s="1"/>
      <c r="D13" s="239" t="s">
        <v>52</v>
      </c>
      <c r="E13" s="240"/>
      <c r="F13" s="241"/>
      <c r="G13" s="1"/>
      <c r="H13" s="1"/>
      <c r="I13" s="1"/>
      <c r="J13" s="1"/>
      <c r="K13" s="1"/>
    </row>
    <row r="14" spans="2:11" x14ac:dyDescent="0.35">
      <c r="B14" s="1"/>
      <c r="C14" s="1"/>
      <c r="D14" s="237" t="s">
        <v>61</v>
      </c>
      <c r="E14" s="238"/>
      <c r="F14" s="60">
        <v>0.1</v>
      </c>
      <c r="G14" s="1"/>
      <c r="H14" s="1"/>
      <c r="I14" s="1"/>
      <c r="J14" s="1"/>
      <c r="K14" s="1"/>
    </row>
    <row r="15" spans="2:11" x14ac:dyDescent="0.35">
      <c r="B15" s="1"/>
      <c r="C15" s="1"/>
      <c r="D15" s="237" t="s">
        <v>62</v>
      </c>
      <c r="E15" s="238"/>
      <c r="F15" s="60">
        <v>0.5</v>
      </c>
      <c r="G15" s="1"/>
      <c r="H15" s="1"/>
      <c r="I15" s="1"/>
      <c r="J15" s="1"/>
      <c r="K15" s="1"/>
    </row>
    <row r="16" spans="2:11" x14ac:dyDescent="0.35">
      <c r="B16" s="1"/>
      <c r="C16" s="1"/>
      <c r="D16" s="237" t="s">
        <v>63</v>
      </c>
      <c r="E16" s="238"/>
      <c r="F16" s="105">
        <v>0.4</v>
      </c>
      <c r="G16" s="1"/>
      <c r="H16" s="1"/>
      <c r="I16" s="1"/>
      <c r="J16" s="1"/>
      <c r="K16" s="1"/>
    </row>
    <row r="17" spans="2:11" x14ac:dyDescent="0.35">
      <c r="B17" s="7"/>
      <c r="C17" s="7"/>
      <c r="D17" s="242" t="s">
        <v>103</v>
      </c>
      <c r="E17" s="243"/>
      <c r="F17" s="103"/>
      <c r="G17" s="1"/>
      <c r="H17" s="1"/>
      <c r="I17" s="1"/>
      <c r="J17" s="1"/>
      <c r="K17" s="1"/>
    </row>
    <row r="18" spans="2:11" x14ac:dyDescent="0.35">
      <c r="B18" s="1"/>
      <c r="C18" s="1"/>
      <c r="D18" s="250" t="s">
        <v>57</v>
      </c>
      <c r="E18" s="251"/>
      <c r="F18" s="106">
        <f>ROUND(F6/F7,0)</f>
        <v>100</v>
      </c>
      <c r="G18" s="1"/>
      <c r="H18" s="1"/>
      <c r="I18" s="1"/>
      <c r="J18" s="1"/>
      <c r="K18" s="1"/>
    </row>
    <row r="19" spans="2:11" ht="16" thickBot="1" x14ac:dyDescent="0.4">
      <c r="B19" s="2"/>
      <c r="C19" s="2"/>
      <c r="D19" s="252" t="s">
        <v>102</v>
      </c>
      <c r="E19" s="253"/>
      <c r="F19" s="104">
        <f>ROUND(F6*F10/F8,0)</f>
        <v>652</v>
      </c>
      <c r="G19" s="1"/>
      <c r="H19" s="1"/>
      <c r="I19" s="1"/>
      <c r="J19" s="1"/>
      <c r="K19" s="1"/>
    </row>
    <row r="20" spans="2:11" x14ac:dyDescent="0.35">
      <c r="B20" s="2"/>
      <c r="C20" s="2"/>
      <c r="D20" s="2"/>
      <c r="E20" s="14"/>
      <c r="F20" s="2"/>
      <c r="G20" s="1"/>
      <c r="H20" s="1"/>
      <c r="I20" s="1"/>
      <c r="J20" s="1"/>
      <c r="K20" s="1"/>
    </row>
    <row r="21" spans="2:11" ht="18.5" x14ac:dyDescent="0.45">
      <c r="B21" s="236" t="s">
        <v>12</v>
      </c>
      <c r="C21" s="236"/>
      <c r="D21" s="236"/>
      <c r="E21" s="236"/>
      <c r="F21" s="236"/>
      <c r="G21" s="236"/>
      <c r="H21" s="236"/>
      <c r="I21" s="236"/>
      <c r="J21" s="236"/>
      <c r="K21" s="236"/>
    </row>
    <row r="22" spans="2:11" ht="16" thickBot="1" x14ac:dyDescent="0.4">
      <c r="B22" s="23" t="s">
        <v>0</v>
      </c>
      <c r="C22" s="34" t="s">
        <v>1</v>
      </c>
      <c r="D22" s="33" t="s">
        <v>2</v>
      </c>
      <c r="E22" s="33" t="s">
        <v>72</v>
      </c>
      <c r="F22" s="33" t="s">
        <v>117</v>
      </c>
      <c r="G22" s="33" t="s">
        <v>3</v>
      </c>
      <c r="H22" s="33" t="s">
        <v>4</v>
      </c>
      <c r="I22" s="33" t="s">
        <v>5</v>
      </c>
      <c r="J22" s="33" t="s">
        <v>6</v>
      </c>
      <c r="K22" s="33" t="s">
        <v>7</v>
      </c>
    </row>
    <row r="23" spans="2:11" x14ac:dyDescent="0.35">
      <c r="B23" s="25" t="s">
        <v>8</v>
      </c>
      <c r="C23" s="68">
        <f>Budget!B22</f>
        <v>7</v>
      </c>
      <c r="D23" s="140">
        <f>Budget!C22</f>
        <v>4</v>
      </c>
      <c r="E23" s="146">
        <f>Budget!D22</f>
        <v>25</v>
      </c>
      <c r="F23" s="149">
        <f>Budget!E22</f>
        <v>175</v>
      </c>
      <c r="G23" s="149">
        <f>Budget!F22</f>
        <v>175</v>
      </c>
      <c r="H23" s="149">
        <f>Budget!G22</f>
        <v>180</v>
      </c>
      <c r="I23" s="149">
        <f>Budget!H22</f>
        <v>186</v>
      </c>
      <c r="J23" s="149">
        <f>Budget!I22</f>
        <v>191</v>
      </c>
      <c r="K23" s="149">
        <f>Budget!J22</f>
        <v>197</v>
      </c>
    </row>
    <row r="24" spans="2:11" x14ac:dyDescent="0.35">
      <c r="B24" s="16" t="s">
        <v>9</v>
      </c>
      <c r="C24" s="67">
        <f>Budget!B23</f>
        <v>6.2</v>
      </c>
      <c r="D24" s="141">
        <f>Budget!C23</f>
        <v>10</v>
      </c>
      <c r="E24" s="181">
        <f>Budget!D23</f>
        <v>65</v>
      </c>
      <c r="F24" s="150">
        <f>Budget!E23</f>
        <v>404</v>
      </c>
      <c r="G24" s="150">
        <f>Budget!F23</f>
        <v>403</v>
      </c>
      <c r="H24" s="150">
        <f>Budget!G23</f>
        <v>415</v>
      </c>
      <c r="I24" s="150">
        <f>Budget!H23</f>
        <v>428</v>
      </c>
      <c r="J24" s="150">
        <f>Budget!I23</f>
        <v>440</v>
      </c>
      <c r="K24" s="150">
        <f>Budget!J23</f>
        <v>454</v>
      </c>
    </row>
    <row r="25" spans="2:11" x14ac:dyDescent="0.35">
      <c r="B25" s="16" t="s">
        <v>10</v>
      </c>
      <c r="C25" s="67">
        <f>Budget!B24</f>
        <v>250</v>
      </c>
      <c r="D25" s="141">
        <f>Budget!C24</f>
        <v>3</v>
      </c>
      <c r="E25" s="182">
        <f>Budget!D24</f>
        <v>1</v>
      </c>
      <c r="F25" s="151">
        <f>Budget!E24</f>
        <v>0</v>
      </c>
      <c r="G25" s="150">
        <f>Budget!F24</f>
        <v>250</v>
      </c>
      <c r="H25" s="150">
        <f>Budget!G24</f>
        <v>0</v>
      </c>
      <c r="I25" s="150">
        <f>Budget!H24</f>
        <v>0</v>
      </c>
      <c r="J25" s="150">
        <f>Budget!I24</f>
        <v>273</v>
      </c>
      <c r="K25" s="150">
        <f>Budget!J24</f>
        <v>0</v>
      </c>
    </row>
    <row r="26" spans="2:11" x14ac:dyDescent="0.35">
      <c r="B26" s="16" t="s">
        <v>11</v>
      </c>
      <c r="C26" s="67">
        <f>Budget!B25</f>
        <v>18000</v>
      </c>
      <c r="D26" s="141">
        <f>Budget!C25</f>
        <v>7</v>
      </c>
      <c r="E26" s="141">
        <f>Budget!D25</f>
        <v>0</v>
      </c>
      <c r="F26" s="152">
        <f>Budget!E25</f>
        <v>0</v>
      </c>
      <c r="G26" s="150">
        <f>Budget!F25</f>
        <v>0</v>
      </c>
      <c r="H26" s="150">
        <f>Budget!G25</f>
        <v>0</v>
      </c>
      <c r="I26" s="150">
        <f>Budget!H25</f>
        <v>0</v>
      </c>
      <c r="J26" s="150">
        <f>Budget!I25</f>
        <v>0</v>
      </c>
      <c r="K26" s="150">
        <f>Budget!J25</f>
        <v>0</v>
      </c>
    </row>
    <row r="27" spans="2:11" x14ac:dyDescent="0.35">
      <c r="B27" s="16" t="s">
        <v>69</v>
      </c>
      <c r="C27" s="67">
        <f>Budget!B26</f>
        <v>28000</v>
      </c>
      <c r="D27" s="141">
        <f>Budget!C26</f>
        <v>10</v>
      </c>
      <c r="E27" s="141">
        <f>Budget!D26</f>
        <v>0</v>
      </c>
      <c r="F27" s="152">
        <f>Budget!E26</f>
        <v>0</v>
      </c>
      <c r="G27" s="150">
        <f>Budget!F26</f>
        <v>0</v>
      </c>
      <c r="H27" s="150">
        <f>Budget!G26</f>
        <v>0</v>
      </c>
      <c r="I27" s="150">
        <f>Budget!H26</f>
        <v>0</v>
      </c>
      <c r="J27" s="150">
        <f>Budget!I26</f>
        <v>0</v>
      </c>
      <c r="K27" s="150">
        <f>Budget!J26</f>
        <v>0</v>
      </c>
    </row>
    <row r="28" spans="2:11" x14ac:dyDescent="0.35">
      <c r="B28" s="16" t="s">
        <v>70</v>
      </c>
      <c r="C28" s="67">
        <f>Budget!B27</f>
        <v>10000</v>
      </c>
      <c r="D28" s="141">
        <f>Budget!C27</f>
        <v>3</v>
      </c>
      <c r="E28" s="141">
        <f>Budget!D27</f>
        <v>0</v>
      </c>
      <c r="F28" s="152">
        <f>Budget!E27</f>
        <v>0</v>
      </c>
      <c r="G28" s="150">
        <f>Budget!F27</f>
        <v>0</v>
      </c>
      <c r="H28" s="150">
        <f>Budget!G27</f>
        <v>0</v>
      </c>
      <c r="I28" s="150">
        <f>Budget!H27</f>
        <v>0</v>
      </c>
      <c r="J28" s="150">
        <f>Budget!I27</f>
        <v>0</v>
      </c>
      <c r="K28" s="150">
        <f>Budget!J27</f>
        <v>0</v>
      </c>
    </row>
    <row r="29" spans="2:11" ht="44" thickBot="1" x14ac:dyDescent="0.4">
      <c r="B29" s="98" t="s">
        <v>71</v>
      </c>
      <c r="C29" s="69">
        <f>Budget!B28</f>
        <v>1000</v>
      </c>
      <c r="D29" s="142">
        <f>Budget!C28</f>
        <v>5</v>
      </c>
      <c r="E29" s="142">
        <f>Budget!D28</f>
        <v>1</v>
      </c>
      <c r="F29" s="153">
        <f>Budget!E28</f>
        <v>0</v>
      </c>
      <c r="G29" s="154">
        <f>Budget!F28</f>
        <v>1000</v>
      </c>
      <c r="H29" s="154">
        <f>Budget!G28</f>
        <v>0</v>
      </c>
      <c r="I29" s="154">
        <f>Budget!H28</f>
        <v>0</v>
      </c>
      <c r="J29" s="154">
        <f>Budget!I28</f>
        <v>0</v>
      </c>
      <c r="K29" s="154">
        <f>Budget!J28</f>
        <v>0</v>
      </c>
    </row>
    <row r="30" spans="2:11" x14ac:dyDescent="0.35">
      <c r="B30" s="5" t="s">
        <v>45</v>
      </c>
      <c r="C30" s="6"/>
      <c r="D30" s="7"/>
      <c r="E30" s="7"/>
      <c r="F30" s="15"/>
      <c r="G30" s="15">
        <f>SUM(G23:G29)</f>
        <v>1828</v>
      </c>
      <c r="H30" s="15">
        <f>SUM(H23:H29)</f>
        <v>595</v>
      </c>
      <c r="I30" s="15">
        <f>SUM(I23:I29)</f>
        <v>614</v>
      </c>
      <c r="J30" s="15">
        <f>SUM(J23:J29)</f>
        <v>904</v>
      </c>
      <c r="K30" s="15">
        <f>SUM(K23:K29)</f>
        <v>651</v>
      </c>
    </row>
    <row r="31" spans="2:11" x14ac:dyDescent="0.35">
      <c r="B31" s="1"/>
      <c r="C31" s="1"/>
      <c r="D31" s="1"/>
      <c r="E31" s="4"/>
      <c r="F31" s="1"/>
      <c r="G31" s="1"/>
      <c r="H31" s="1"/>
      <c r="I31" s="1"/>
      <c r="J31" s="1"/>
      <c r="K31" s="1"/>
    </row>
    <row r="32" spans="2:11" x14ac:dyDescent="0.35">
      <c r="B32" s="107"/>
      <c r="C32" s="107"/>
      <c r="D32" s="107"/>
      <c r="E32" s="4"/>
      <c r="F32" s="1"/>
      <c r="G32" s="1"/>
      <c r="H32" s="1"/>
      <c r="I32" s="1"/>
      <c r="J32" s="1"/>
      <c r="K32" s="1"/>
    </row>
    <row r="33" spans="2:11" x14ac:dyDescent="0.35">
      <c r="B33" s="107"/>
      <c r="C33" s="107"/>
      <c r="D33" s="107"/>
      <c r="E33" s="4"/>
      <c r="F33" s="1"/>
      <c r="G33" s="1"/>
      <c r="H33" s="1"/>
      <c r="I33" s="1"/>
      <c r="J33" s="1"/>
      <c r="K33" s="1"/>
    </row>
    <row r="34" spans="2:11" x14ac:dyDescent="0.35">
      <c r="B34" s="107"/>
      <c r="C34" s="107"/>
      <c r="D34" s="107"/>
      <c r="E34" s="4"/>
      <c r="F34" s="1"/>
      <c r="G34" s="1"/>
      <c r="H34" s="1"/>
      <c r="I34" s="1"/>
      <c r="J34" s="1"/>
      <c r="K34" s="1"/>
    </row>
    <row r="35" spans="2:11" x14ac:dyDescent="0.35">
      <c r="B35" s="107"/>
      <c r="C35" s="107"/>
      <c r="D35" s="107"/>
      <c r="E35" s="4"/>
      <c r="F35" s="1"/>
      <c r="G35" s="1"/>
      <c r="H35" s="1"/>
      <c r="I35" s="1"/>
      <c r="J35" s="1"/>
      <c r="K35" s="1"/>
    </row>
    <row r="36" spans="2:11" x14ac:dyDescent="0.35">
      <c r="B36" s="107"/>
      <c r="C36" s="107"/>
      <c r="D36" s="107"/>
      <c r="E36" s="4"/>
      <c r="F36" s="1"/>
      <c r="G36" s="1"/>
      <c r="H36" s="1"/>
      <c r="I36" s="1"/>
      <c r="J36" s="1"/>
      <c r="K36" s="1"/>
    </row>
    <row r="37" spans="2:11" x14ac:dyDescent="0.35">
      <c r="B37" s="107"/>
      <c r="C37" s="107"/>
      <c r="D37" s="107"/>
      <c r="E37" s="4"/>
      <c r="F37" s="1"/>
      <c r="G37" s="1"/>
      <c r="H37" s="1"/>
      <c r="I37" s="1"/>
      <c r="J37" s="1"/>
      <c r="K37" s="1"/>
    </row>
    <row r="38" spans="2:11" ht="18.5" x14ac:dyDescent="0.45">
      <c r="B38" s="236" t="s">
        <v>14</v>
      </c>
      <c r="C38" s="236"/>
      <c r="D38" s="236"/>
      <c r="E38" s="236"/>
      <c r="F38" s="236"/>
      <c r="G38" s="236"/>
      <c r="H38" s="236"/>
      <c r="I38" s="236"/>
      <c r="J38" s="1"/>
      <c r="K38" s="1"/>
    </row>
    <row r="39" spans="2:11" ht="44" thickBot="1" x14ac:dyDescent="0.4">
      <c r="B39" s="33" t="s">
        <v>13</v>
      </c>
      <c r="C39" s="23" t="s">
        <v>107</v>
      </c>
      <c r="D39" s="122" t="s">
        <v>110</v>
      </c>
      <c r="E39" s="34" t="s">
        <v>3</v>
      </c>
      <c r="F39" s="33" t="s">
        <v>4</v>
      </c>
      <c r="G39" s="33" t="s">
        <v>5</v>
      </c>
      <c r="H39" s="33" t="s">
        <v>6</v>
      </c>
      <c r="I39" s="33" t="s">
        <v>7</v>
      </c>
      <c r="J39" s="1"/>
      <c r="K39" s="1"/>
    </row>
    <row r="40" spans="2:11" x14ac:dyDescent="0.35">
      <c r="B40" s="41" t="s">
        <v>14</v>
      </c>
      <c r="C40" s="1"/>
      <c r="D40" s="1"/>
      <c r="E40" s="32"/>
      <c r="F40" s="9"/>
      <c r="G40" s="9"/>
      <c r="H40" s="9"/>
      <c r="I40" s="102"/>
      <c r="J40" s="1"/>
      <c r="K40" s="1"/>
    </row>
    <row r="41" spans="2:11" x14ac:dyDescent="0.35">
      <c r="B41" s="25" t="s">
        <v>15</v>
      </c>
      <c r="C41" s="115">
        <f>$E$5</f>
        <v>0</v>
      </c>
      <c r="D41" s="118">
        <f>I6</f>
        <v>6.0000000000000001E-3</v>
      </c>
      <c r="E41" s="119">
        <f>C41*D41</f>
        <v>0</v>
      </c>
      <c r="F41" s="30">
        <v>6000</v>
      </c>
      <c r="G41" s="30">
        <v>6000</v>
      </c>
      <c r="H41" s="30">
        <v>6000</v>
      </c>
      <c r="I41" s="30">
        <v>6000</v>
      </c>
      <c r="J41" s="12"/>
      <c r="K41" s="12"/>
    </row>
    <row r="42" spans="2:11" x14ac:dyDescent="0.35">
      <c r="B42" s="16" t="s">
        <v>108</v>
      </c>
      <c r="C42" s="116">
        <f>F18+F19</f>
        <v>752</v>
      </c>
      <c r="D42" s="67">
        <f>Budget!C35</f>
        <v>2</v>
      </c>
      <c r="E42" s="125">
        <f>C42*D42</f>
        <v>1504</v>
      </c>
      <c r="F42" s="29">
        <f>ROUND(E42+E42*0.03,0)</f>
        <v>1549</v>
      </c>
      <c r="G42" s="29">
        <f>ROUND(F42+F42*0.03,0)</f>
        <v>1595</v>
      </c>
      <c r="H42" s="29">
        <f t="shared" ref="H42:I53" si="0">ROUND(G42+G42*0.03,0)</f>
        <v>1643</v>
      </c>
      <c r="I42" s="29">
        <f t="shared" si="0"/>
        <v>1692</v>
      </c>
      <c r="J42" s="1"/>
      <c r="K42" s="1"/>
    </row>
    <row r="43" spans="2:11" x14ac:dyDescent="0.35">
      <c r="B43" s="16" t="s">
        <v>16</v>
      </c>
      <c r="C43" s="131">
        <f>Budget!B36</f>
        <v>205</v>
      </c>
      <c r="D43" s="67">
        <f>Budget!C36</f>
        <v>3.5</v>
      </c>
      <c r="E43" s="125">
        <f>C43*D43</f>
        <v>717.5</v>
      </c>
      <c r="F43" s="29">
        <f t="shared" ref="F43:G49" si="1">ROUND(E43+E43*0.03,0)</f>
        <v>739</v>
      </c>
      <c r="G43" s="29">
        <f t="shared" si="1"/>
        <v>761</v>
      </c>
      <c r="H43" s="29">
        <f t="shared" si="0"/>
        <v>784</v>
      </c>
      <c r="I43" s="29">
        <f t="shared" si="0"/>
        <v>808</v>
      </c>
      <c r="J43" s="1"/>
      <c r="K43" s="1"/>
    </row>
    <row r="44" spans="2:11" x14ac:dyDescent="0.35">
      <c r="B44" s="16" t="s">
        <v>17</v>
      </c>
      <c r="C44" s="131">
        <f>Budget!B37</f>
        <v>205</v>
      </c>
      <c r="D44" s="67">
        <f>Budget!C37</f>
        <v>3.5</v>
      </c>
      <c r="E44" s="125">
        <f>C44*D44</f>
        <v>717.5</v>
      </c>
      <c r="F44" s="29">
        <f t="shared" si="1"/>
        <v>739</v>
      </c>
      <c r="G44" s="29">
        <f t="shared" si="1"/>
        <v>761</v>
      </c>
      <c r="H44" s="29">
        <f t="shared" si="0"/>
        <v>784</v>
      </c>
      <c r="I44" s="29">
        <f t="shared" si="0"/>
        <v>808</v>
      </c>
      <c r="J44" s="1"/>
      <c r="K44" s="1"/>
    </row>
    <row r="45" spans="2:11" x14ac:dyDescent="0.35">
      <c r="B45" s="16" t="s">
        <v>18</v>
      </c>
      <c r="C45" s="164">
        <f>Budget!B38</f>
        <v>1</v>
      </c>
      <c r="D45" s="67">
        <f>Budget!C38</f>
        <v>100</v>
      </c>
      <c r="E45" s="125">
        <f>C45*D45</f>
        <v>100</v>
      </c>
      <c r="F45" s="29">
        <f t="shared" si="1"/>
        <v>103</v>
      </c>
      <c r="G45" s="29">
        <f t="shared" si="1"/>
        <v>106</v>
      </c>
      <c r="H45" s="29">
        <f t="shared" si="0"/>
        <v>109</v>
      </c>
      <c r="I45" s="29">
        <f t="shared" si="0"/>
        <v>112</v>
      </c>
      <c r="J45" s="1"/>
      <c r="K45" s="1"/>
    </row>
    <row r="46" spans="2:11" x14ac:dyDescent="0.35">
      <c r="B46" s="16" t="s">
        <v>77</v>
      </c>
      <c r="C46" s="121"/>
      <c r="D46" s="67">
        <f>Budget!C39</f>
        <v>2800</v>
      </c>
      <c r="E46" s="125">
        <f>D46</f>
        <v>2800</v>
      </c>
      <c r="F46" s="29">
        <f t="shared" si="1"/>
        <v>2884</v>
      </c>
      <c r="G46" s="29">
        <f t="shared" si="1"/>
        <v>2971</v>
      </c>
      <c r="H46" s="29">
        <f t="shared" si="0"/>
        <v>3060</v>
      </c>
      <c r="I46" s="29">
        <f t="shared" si="0"/>
        <v>3152</v>
      </c>
      <c r="J46" s="1"/>
      <c r="K46" s="1"/>
    </row>
    <row r="47" spans="2:11" x14ac:dyDescent="0.35">
      <c r="B47" s="16" t="s">
        <v>78</v>
      </c>
      <c r="C47" s="120">
        <f>ROUND(0.75*F18+0.9*F19,0)</f>
        <v>662</v>
      </c>
      <c r="D47" s="67">
        <f>Budget!C40</f>
        <v>1.25</v>
      </c>
      <c r="E47" s="125">
        <f>C47*D47</f>
        <v>827.5</v>
      </c>
      <c r="F47" s="29">
        <f t="shared" si="1"/>
        <v>852</v>
      </c>
      <c r="G47" s="29">
        <f t="shared" si="1"/>
        <v>878</v>
      </c>
      <c r="H47" s="29">
        <f t="shared" si="0"/>
        <v>904</v>
      </c>
      <c r="I47" s="29">
        <f t="shared" si="0"/>
        <v>931</v>
      </c>
      <c r="J47" s="1"/>
      <c r="K47" s="1"/>
    </row>
    <row r="48" spans="2:11" x14ac:dyDescent="0.35">
      <c r="B48" s="16" t="s">
        <v>111</v>
      </c>
      <c r="C48" s="120"/>
      <c r="D48" s="67">
        <f>Budget!C41</f>
        <v>4400</v>
      </c>
      <c r="E48" s="125">
        <f>D48</f>
        <v>4400</v>
      </c>
      <c r="F48" s="119">
        <f t="shared" si="1"/>
        <v>4532</v>
      </c>
      <c r="G48" s="119">
        <f t="shared" si="1"/>
        <v>4668</v>
      </c>
      <c r="H48" s="119">
        <f t="shared" si="0"/>
        <v>4808</v>
      </c>
      <c r="I48" s="119">
        <f t="shared" si="0"/>
        <v>4952</v>
      </c>
      <c r="J48" s="1"/>
      <c r="K48" s="1"/>
    </row>
    <row r="49" spans="2:11" x14ac:dyDescent="0.35">
      <c r="B49" s="16" t="s">
        <v>66</v>
      </c>
      <c r="C49" s="120"/>
      <c r="D49" s="67">
        <f>Budget!C42</f>
        <v>250</v>
      </c>
      <c r="E49" s="125">
        <f>D49</f>
        <v>250</v>
      </c>
      <c r="F49" s="29">
        <f t="shared" si="1"/>
        <v>258</v>
      </c>
      <c r="G49" s="29">
        <f t="shared" si="1"/>
        <v>266</v>
      </c>
      <c r="H49" s="29">
        <f t="shared" si="0"/>
        <v>274</v>
      </c>
      <c r="I49" s="29">
        <f t="shared" si="0"/>
        <v>282</v>
      </c>
      <c r="J49" s="1"/>
      <c r="K49" s="1"/>
    </row>
    <row r="50" spans="2:11" x14ac:dyDescent="0.35">
      <c r="B50" s="42" t="s">
        <v>68</v>
      </c>
      <c r="C50" s="114"/>
      <c r="D50" s="114"/>
      <c r="E50" s="126"/>
      <c r="F50" s="35"/>
      <c r="G50" s="35"/>
      <c r="H50" s="35"/>
      <c r="I50" s="36"/>
      <c r="J50" s="12"/>
      <c r="K50" s="12"/>
    </row>
    <row r="51" spans="2:11" x14ac:dyDescent="0.35">
      <c r="B51" s="16" t="s">
        <v>48</v>
      </c>
      <c r="C51" s="47">
        <f>Budget!B44</f>
        <v>1</v>
      </c>
      <c r="D51" s="47">
        <f>Budget!C44</f>
        <v>750</v>
      </c>
      <c r="E51" s="127">
        <v>750</v>
      </c>
      <c r="F51" s="29">
        <f>ROUND(E51+E51*0.03,0)</f>
        <v>773</v>
      </c>
      <c r="G51" s="29">
        <f>ROUND(F51+F51*0.03,0)</f>
        <v>796</v>
      </c>
      <c r="H51" s="29">
        <f t="shared" si="0"/>
        <v>820</v>
      </c>
      <c r="I51" s="29">
        <f t="shared" si="0"/>
        <v>845</v>
      </c>
      <c r="J51" s="1"/>
      <c r="K51" s="1"/>
    </row>
    <row r="52" spans="2:11" x14ac:dyDescent="0.35">
      <c r="B52" s="16" t="s">
        <v>49</v>
      </c>
      <c r="C52" s="47">
        <f>Budget!B45</f>
        <v>1</v>
      </c>
      <c r="D52" s="47">
        <f>Budget!C45</f>
        <v>250</v>
      </c>
      <c r="E52" s="127">
        <v>250</v>
      </c>
      <c r="F52" s="29">
        <v>250</v>
      </c>
      <c r="G52" s="29">
        <v>250</v>
      </c>
      <c r="H52" s="29">
        <v>250</v>
      </c>
      <c r="I52" s="29">
        <v>250</v>
      </c>
      <c r="J52" s="1"/>
      <c r="K52" s="1"/>
    </row>
    <row r="53" spans="2:11" x14ac:dyDescent="0.35">
      <c r="B53" s="16" t="s">
        <v>20</v>
      </c>
      <c r="C53" s="47">
        <f>Budget!B46</f>
        <v>1</v>
      </c>
      <c r="D53" s="47">
        <f>Budget!C46</f>
        <v>500</v>
      </c>
      <c r="E53" s="127">
        <v>500</v>
      </c>
      <c r="F53" s="29">
        <f>ROUND(E53+E53*0.03,0)</f>
        <v>515</v>
      </c>
      <c r="G53" s="29">
        <f>ROUND(F53+F53*0.03,0)</f>
        <v>530</v>
      </c>
      <c r="H53" s="29">
        <f t="shared" si="0"/>
        <v>546</v>
      </c>
      <c r="I53" s="29">
        <f t="shared" si="0"/>
        <v>562</v>
      </c>
      <c r="J53" s="1"/>
      <c r="K53" s="1"/>
    </row>
    <row r="54" spans="2:11" x14ac:dyDescent="0.35">
      <c r="B54" s="108" t="s">
        <v>104</v>
      </c>
      <c r="C54" s="130">
        <f>Budget!B47</f>
        <v>1</v>
      </c>
      <c r="D54" s="130">
        <f>Budget!C47</f>
        <v>27</v>
      </c>
      <c r="E54" s="128">
        <v>27</v>
      </c>
      <c r="F54" s="109">
        <v>27</v>
      </c>
      <c r="G54" s="109">
        <v>27</v>
      </c>
      <c r="H54" s="109">
        <v>27</v>
      </c>
      <c r="I54" s="109">
        <v>27</v>
      </c>
      <c r="J54" s="1"/>
      <c r="K54" s="1"/>
    </row>
    <row r="55" spans="2:11" ht="16" thickBot="1" x14ac:dyDescent="0.4">
      <c r="B55" s="27" t="s">
        <v>21</v>
      </c>
      <c r="C55" s="48">
        <f>Budget!B48</f>
        <v>1</v>
      </c>
      <c r="D55" s="48">
        <f>Budget!C48</f>
        <v>100</v>
      </c>
      <c r="E55" s="129">
        <v>100</v>
      </c>
      <c r="F55" s="110">
        <v>100</v>
      </c>
      <c r="G55" s="110">
        <v>100</v>
      </c>
      <c r="H55" s="110">
        <v>100</v>
      </c>
      <c r="I55" s="110">
        <v>100</v>
      </c>
      <c r="J55" s="1"/>
      <c r="K55" s="1"/>
    </row>
    <row r="56" spans="2:11" x14ac:dyDescent="0.35">
      <c r="B56" s="3" t="s">
        <v>22</v>
      </c>
      <c r="C56" s="3"/>
      <c r="D56" s="3"/>
      <c r="E56" s="10">
        <f>SUM(E41:E55)</f>
        <v>12943.5</v>
      </c>
      <c r="F56" s="10">
        <f>SUM(F41:F55)</f>
        <v>19321</v>
      </c>
      <c r="G56" s="10">
        <f>SUM(G41:G55)</f>
        <v>19709</v>
      </c>
      <c r="H56" s="10">
        <f>SUM(H41:H55)</f>
        <v>20109</v>
      </c>
      <c r="I56" s="10">
        <f>SUM(I41:I55)</f>
        <v>20521</v>
      </c>
      <c r="J56" s="1"/>
      <c r="K56" s="1"/>
    </row>
    <row r="57" spans="2:11" x14ac:dyDescent="0.35">
      <c r="B57" s="3"/>
      <c r="C57" s="3"/>
      <c r="D57" s="3"/>
      <c r="E57" s="10"/>
      <c r="F57" s="10"/>
      <c r="G57" s="10"/>
      <c r="H57" s="10"/>
      <c r="I57" s="10"/>
      <c r="J57" s="1"/>
      <c r="K57" s="1"/>
    </row>
    <row r="58" spans="2:11" x14ac:dyDescent="0.35">
      <c r="B58" s="3"/>
      <c r="C58" s="3"/>
      <c r="D58" s="3"/>
      <c r="E58" s="10"/>
      <c r="F58" s="10"/>
      <c r="G58" s="10"/>
      <c r="H58" s="10"/>
      <c r="I58" s="10"/>
      <c r="J58" s="1"/>
      <c r="K58" s="1"/>
    </row>
    <row r="59" spans="2:11" x14ac:dyDescent="0.35">
      <c r="B59" s="1"/>
      <c r="C59" s="1"/>
      <c r="D59" s="1"/>
      <c r="E59" s="8"/>
      <c r="F59" s="8"/>
      <c r="G59" s="8"/>
      <c r="H59" s="8"/>
      <c r="I59" s="8"/>
      <c r="J59" s="1"/>
      <c r="K59" s="1"/>
    </row>
    <row r="60" spans="2:11" ht="18.5" x14ac:dyDescent="0.45">
      <c r="B60" s="236" t="s">
        <v>76</v>
      </c>
      <c r="C60" s="236"/>
      <c r="D60" s="236"/>
      <c r="E60" s="236"/>
      <c r="F60" s="236"/>
      <c r="G60" s="236"/>
      <c r="H60" s="236"/>
      <c r="I60" s="236"/>
      <c r="J60" s="1"/>
      <c r="K60" s="1"/>
    </row>
    <row r="61" spans="2:11" ht="16" thickBot="1" x14ac:dyDescent="0.4">
      <c r="B61" s="37"/>
      <c r="C61" s="34" t="s">
        <v>3</v>
      </c>
      <c r="D61" s="33" t="s">
        <v>4</v>
      </c>
      <c r="E61" s="33" t="s">
        <v>5</v>
      </c>
      <c r="F61" s="33" t="s">
        <v>6</v>
      </c>
      <c r="G61" s="33" t="s">
        <v>7</v>
      </c>
      <c r="H61" s="1"/>
      <c r="I61" s="1"/>
      <c r="J61" s="1"/>
      <c r="K61" s="1"/>
    </row>
    <row r="62" spans="2:11" x14ac:dyDescent="0.35">
      <c r="B62" s="25" t="s">
        <v>23</v>
      </c>
      <c r="C62" s="155">
        <f>Budget!$B$56</f>
        <v>0</v>
      </c>
      <c r="D62" s="39">
        <f>C69</f>
        <v>12828.500000000011</v>
      </c>
      <c r="E62" s="39">
        <f>D69</f>
        <v>20512.500000000022</v>
      </c>
      <c r="F62" s="39">
        <f>E69</f>
        <v>27789.500000000033</v>
      </c>
      <c r="G62" s="39">
        <f>F69</f>
        <v>34376.500000000044</v>
      </c>
      <c r="H62" s="1"/>
      <c r="I62" s="1"/>
      <c r="J62" s="1"/>
      <c r="K62" s="1"/>
    </row>
    <row r="63" spans="2:11" x14ac:dyDescent="0.35">
      <c r="B63" s="16" t="s">
        <v>24</v>
      </c>
      <c r="C63" s="38">
        <f>F91</f>
        <v>27600.000000000011</v>
      </c>
      <c r="D63" s="38">
        <f>F91</f>
        <v>27600.000000000011</v>
      </c>
      <c r="E63" s="38">
        <f>F91</f>
        <v>27600.000000000011</v>
      </c>
      <c r="F63" s="38">
        <f>F91</f>
        <v>27600.000000000011</v>
      </c>
      <c r="G63" s="38">
        <f>F91</f>
        <v>27600.000000000011</v>
      </c>
      <c r="H63" s="1"/>
      <c r="I63" s="1"/>
      <c r="J63" s="1"/>
      <c r="K63" s="1"/>
    </row>
    <row r="64" spans="2:11" x14ac:dyDescent="0.35">
      <c r="B64" s="16" t="s">
        <v>25</v>
      </c>
      <c r="C64" s="38"/>
      <c r="D64" s="38"/>
      <c r="E64" s="38"/>
      <c r="F64" s="38"/>
      <c r="G64" s="38"/>
      <c r="H64" s="1"/>
      <c r="I64" s="1"/>
      <c r="J64" s="1"/>
      <c r="K64" s="1"/>
    </row>
    <row r="65" spans="2:11" x14ac:dyDescent="0.35">
      <c r="B65" s="16" t="s">
        <v>64</v>
      </c>
      <c r="C65" s="38">
        <f>E56</f>
        <v>12943.5</v>
      </c>
      <c r="D65" s="38">
        <f>F56</f>
        <v>19321</v>
      </c>
      <c r="E65" s="38">
        <f>G56</f>
        <v>19709</v>
      </c>
      <c r="F65" s="38">
        <f>H56</f>
        <v>20109</v>
      </c>
      <c r="G65" s="38">
        <f>I56</f>
        <v>20521</v>
      </c>
      <c r="H65" s="1"/>
      <c r="I65" s="1"/>
      <c r="J65" s="1"/>
      <c r="K65" s="1"/>
    </row>
    <row r="66" spans="2:11" x14ac:dyDescent="0.35">
      <c r="B66" s="16" t="s">
        <v>65</v>
      </c>
      <c r="C66" s="38">
        <f>G30</f>
        <v>1828</v>
      </c>
      <c r="D66" s="38">
        <f>H30</f>
        <v>595</v>
      </c>
      <c r="E66" s="38">
        <f>I30</f>
        <v>614</v>
      </c>
      <c r="F66" s="38">
        <f>J30</f>
        <v>904</v>
      </c>
      <c r="G66" s="38">
        <f>K30</f>
        <v>651</v>
      </c>
      <c r="H66" s="1"/>
      <c r="I66" s="1"/>
      <c r="J66" s="1"/>
      <c r="K66" s="1"/>
    </row>
    <row r="67" spans="2:11" x14ac:dyDescent="0.35">
      <c r="B67" s="16" t="s">
        <v>28</v>
      </c>
      <c r="C67" s="38">
        <f>C65+C66</f>
        <v>14771.5</v>
      </c>
      <c r="D67" s="38">
        <f>D65+D66</f>
        <v>19916</v>
      </c>
      <c r="E67" s="38">
        <f>E65+E66</f>
        <v>20323</v>
      </c>
      <c r="F67" s="38">
        <f>F65+F66</f>
        <v>21013</v>
      </c>
      <c r="G67" s="38">
        <f>G65+G66</f>
        <v>21172</v>
      </c>
      <c r="H67" s="1"/>
      <c r="I67" s="1"/>
      <c r="J67" s="1"/>
      <c r="K67" s="1"/>
    </row>
    <row r="68" spans="2:11" x14ac:dyDescent="0.35">
      <c r="B68" s="16" t="s">
        <v>26</v>
      </c>
      <c r="C68" s="38">
        <f>C63-C67</f>
        <v>12828.500000000011</v>
      </c>
      <c r="D68" s="38">
        <f>D63-D67</f>
        <v>7684.0000000000109</v>
      </c>
      <c r="E68" s="38">
        <f>E63-E67</f>
        <v>7277.0000000000109</v>
      </c>
      <c r="F68" s="38">
        <f>F63-F67</f>
        <v>6587.0000000000109</v>
      </c>
      <c r="G68" s="38">
        <f>G63-G67</f>
        <v>6428.0000000000109</v>
      </c>
      <c r="H68" s="1"/>
      <c r="I68" s="1"/>
      <c r="J68" s="1"/>
      <c r="K68" s="1"/>
    </row>
    <row r="69" spans="2:11" x14ac:dyDescent="0.35">
      <c r="B69" s="16" t="s">
        <v>27</v>
      </c>
      <c r="C69" s="38">
        <f>C62+C68</f>
        <v>12828.500000000011</v>
      </c>
      <c r="D69" s="38">
        <f>D62+D68</f>
        <v>20512.500000000022</v>
      </c>
      <c r="E69" s="38">
        <f>E62+E68</f>
        <v>27789.500000000033</v>
      </c>
      <c r="F69" s="38">
        <f>F62+F68</f>
        <v>34376.500000000044</v>
      </c>
      <c r="G69" s="38">
        <f>G62+G68</f>
        <v>40804.500000000058</v>
      </c>
      <c r="H69" s="1"/>
      <c r="I69" s="1"/>
      <c r="J69" s="1"/>
      <c r="K69" s="1"/>
    </row>
    <row r="70" spans="2:11" x14ac:dyDescent="0.35">
      <c r="B70" s="7"/>
      <c r="C70" s="7"/>
      <c r="D70" s="7"/>
      <c r="E70" s="40"/>
      <c r="F70" s="40"/>
      <c r="G70" s="40"/>
      <c r="H70" s="40"/>
      <c r="I70" s="40"/>
      <c r="J70" s="1"/>
      <c r="K70" s="1"/>
    </row>
    <row r="71" spans="2:11" ht="21.5" x14ac:dyDescent="0.75">
      <c r="B71" s="107"/>
      <c r="C71" s="107"/>
      <c r="D71" s="107"/>
      <c r="E71" s="244" t="s">
        <v>118</v>
      </c>
      <c r="F71" s="244"/>
      <c r="G71" s="1"/>
      <c r="H71" s="1"/>
      <c r="I71" s="1"/>
      <c r="J71" s="1"/>
      <c r="K71" s="1"/>
    </row>
    <row r="72" spans="2:11" x14ac:dyDescent="0.35">
      <c r="B72" s="107"/>
      <c r="C72" s="107"/>
      <c r="D72" s="107"/>
      <c r="E72" s="145"/>
      <c r="F72" s="145"/>
      <c r="G72" s="1"/>
      <c r="H72" s="1"/>
      <c r="I72" s="1"/>
      <c r="J72" s="1"/>
      <c r="K72" s="1"/>
    </row>
    <row r="73" spans="2:11" ht="16" thickBot="1" x14ac:dyDescent="0.4">
      <c r="B73" s="23" t="s">
        <v>0</v>
      </c>
      <c r="C73" s="34" t="s">
        <v>1</v>
      </c>
      <c r="D73" s="33" t="s">
        <v>2</v>
      </c>
      <c r="E73" s="33" t="s">
        <v>3</v>
      </c>
      <c r="F73" s="33" t="s">
        <v>4</v>
      </c>
      <c r="G73" s="33" t="s">
        <v>5</v>
      </c>
      <c r="H73" s="33" t="s">
        <v>6</v>
      </c>
      <c r="I73" s="33" t="s">
        <v>7</v>
      </c>
      <c r="J73" s="1"/>
      <c r="K73" s="1"/>
    </row>
    <row r="74" spans="2:11" x14ac:dyDescent="0.35">
      <c r="B74" s="25" t="s">
        <v>8</v>
      </c>
      <c r="C74" s="144">
        <f t="shared" ref="C74:C80" si="2">C23</f>
        <v>7</v>
      </c>
      <c r="D74" s="140">
        <v>4</v>
      </c>
      <c r="E74" s="26">
        <f>Budget!D69</f>
        <v>175</v>
      </c>
      <c r="F74" s="26">
        <f>Budget!E69</f>
        <v>180</v>
      </c>
      <c r="G74" s="26">
        <f>Budget!F69</f>
        <v>185</v>
      </c>
      <c r="H74" s="26">
        <f>Budget!G69</f>
        <v>191</v>
      </c>
      <c r="I74" s="26">
        <f>Budget!H69</f>
        <v>197</v>
      </c>
      <c r="J74" s="1"/>
      <c r="K74" s="1"/>
    </row>
    <row r="75" spans="2:11" x14ac:dyDescent="0.35">
      <c r="B75" s="16" t="s">
        <v>9</v>
      </c>
      <c r="C75" s="144">
        <f t="shared" si="2"/>
        <v>6.2</v>
      </c>
      <c r="D75" s="141">
        <v>10</v>
      </c>
      <c r="E75" s="26">
        <f>Budget!D70</f>
        <v>404</v>
      </c>
      <c r="F75" s="26">
        <f>Budget!E70</f>
        <v>416</v>
      </c>
      <c r="G75" s="26">
        <f>Budget!F70</f>
        <v>428</v>
      </c>
      <c r="H75" s="26">
        <f>Budget!G70</f>
        <v>441</v>
      </c>
      <c r="I75" s="26">
        <f>Budget!H70</f>
        <v>454</v>
      </c>
      <c r="J75" s="1"/>
      <c r="K75" s="1"/>
    </row>
    <row r="76" spans="2:11" x14ac:dyDescent="0.35">
      <c r="B76" s="16" t="s">
        <v>10</v>
      </c>
      <c r="C76" s="144">
        <f t="shared" si="2"/>
        <v>250</v>
      </c>
      <c r="D76" s="141">
        <v>3</v>
      </c>
      <c r="E76" s="24">
        <f>Budget!D71</f>
        <v>83.333333333333329</v>
      </c>
      <c r="F76" s="24">
        <f>Budget!E71</f>
        <v>86</v>
      </c>
      <c r="G76" s="24">
        <f>Budget!F71</f>
        <v>89</v>
      </c>
      <c r="H76" s="24">
        <f>Budget!G71</f>
        <v>92</v>
      </c>
      <c r="I76" s="24">
        <f>Budget!H71</f>
        <v>95</v>
      </c>
      <c r="J76" s="1"/>
      <c r="K76" s="1"/>
    </row>
    <row r="77" spans="2:11" x14ac:dyDescent="0.35">
      <c r="B77" s="16" t="s">
        <v>11</v>
      </c>
      <c r="C77" s="144">
        <f t="shared" si="2"/>
        <v>18000</v>
      </c>
      <c r="D77" s="141">
        <v>7</v>
      </c>
      <c r="E77" s="24">
        <f>Budget!D72</f>
        <v>0</v>
      </c>
      <c r="F77" s="24">
        <f>Budget!E72</f>
        <v>0</v>
      </c>
      <c r="G77" s="24">
        <f>Budget!F72</f>
        <v>0</v>
      </c>
      <c r="H77" s="24">
        <f>Budget!G72</f>
        <v>0</v>
      </c>
      <c r="I77" s="24">
        <f>Budget!H72</f>
        <v>0</v>
      </c>
      <c r="J77" s="1"/>
      <c r="K77" s="1"/>
    </row>
    <row r="78" spans="2:11" x14ac:dyDescent="0.35">
      <c r="B78" s="16" t="s">
        <v>69</v>
      </c>
      <c r="C78" s="144">
        <f t="shared" si="2"/>
        <v>28000</v>
      </c>
      <c r="D78" s="141">
        <v>10</v>
      </c>
      <c r="E78" s="24">
        <f>Budget!D73</f>
        <v>0</v>
      </c>
      <c r="F78" s="24">
        <f>Budget!E73</f>
        <v>0</v>
      </c>
      <c r="G78" s="24">
        <f>Budget!F73</f>
        <v>0</v>
      </c>
      <c r="H78" s="24">
        <f>Budget!G73</f>
        <v>0</v>
      </c>
      <c r="I78" s="24">
        <f>Budget!H73</f>
        <v>0</v>
      </c>
      <c r="J78" s="1"/>
      <c r="K78" s="1"/>
    </row>
    <row r="79" spans="2:11" x14ac:dyDescent="0.35">
      <c r="B79" s="16" t="s">
        <v>70</v>
      </c>
      <c r="C79" s="144">
        <f t="shared" si="2"/>
        <v>10000</v>
      </c>
      <c r="D79" s="141">
        <v>3</v>
      </c>
      <c r="E79" s="24">
        <f>Budget!D74</f>
        <v>0</v>
      </c>
      <c r="F79" s="24">
        <f>Budget!E74</f>
        <v>0</v>
      </c>
      <c r="G79" s="24">
        <f>Budget!F74</f>
        <v>0</v>
      </c>
      <c r="H79" s="24">
        <f>Budget!G74</f>
        <v>0</v>
      </c>
      <c r="I79" s="24">
        <f>Budget!H74</f>
        <v>0</v>
      </c>
      <c r="J79" s="1"/>
      <c r="K79" s="1"/>
    </row>
    <row r="80" spans="2:11" ht="44" thickBot="1" x14ac:dyDescent="0.4">
      <c r="B80" s="98" t="s">
        <v>71</v>
      </c>
      <c r="C80" s="129">
        <f t="shared" si="2"/>
        <v>1000</v>
      </c>
      <c r="D80" s="142">
        <v>5</v>
      </c>
      <c r="E80" s="28">
        <f>Budget!D75</f>
        <v>200</v>
      </c>
      <c r="F80" s="28">
        <f>Budget!E75</f>
        <v>206</v>
      </c>
      <c r="G80" s="28">
        <f>Budget!F75</f>
        <v>212</v>
      </c>
      <c r="H80" s="28">
        <f>Budget!G75</f>
        <v>218</v>
      </c>
      <c r="I80" s="28">
        <f>Budget!H75</f>
        <v>225</v>
      </c>
      <c r="J80" s="1"/>
      <c r="K80" s="1"/>
    </row>
    <row r="81" spans="2:11" x14ac:dyDescent="0.35">
      <c r="B81" s="5" t="s">
        <v>45</v>
      </c>
      <c r="C81" s="6"/>
      <c r="D81" s="7"/>
      <c r="E81" s="15">
        <f>SUM(E74:E80)</f>
        <v>862.33333333333337</v>
      </c>
      <c r="F81" s="15">
        <f>SUM(F74:F80)</f>
        <v>888</v>
      </c>
      <c r="G81" s="15">
        <f>SUM(G74:G80)</f>
        <v>914</v>
      </c>
      <c r="H81" s="15">
        <f>SUM(H74:H80)</f>
        <v>942</v>
      </c>
      <c r="I81" s="15">
        <f>SUM(I74:I80)</f>
        <v>971</v>
      </c>
      <c r="J81" s="1"/>
      <c r="K81" s="1"/>
    </row>
    <row r="82" spans="2:11" x14ac:dyDescent="0.35">
      <c r="B82" s="7"/>
      <c r="C82" s="7"/>
      <c r="D82" s="7"/>
      <c r="E82" s="40"/>
      <c r="F82" s="40"/>
      <c r="G82" s="40"/>
      <c r="H82" s="40"/>
      <c r="I82" s="40"/>
      <c r="J82" s="1"/>
      <c r="K82" s="1"/>
    </row>
    <row r="83" spans="2:11" x14ac:dyDescent="0.35">
      <c r="B83" s="1"/>
      <c r="C83" s="1"/>
      <c r="D83" s="1"/>
      <c r="E83" s="4"/>
      <c r="F83" s="1"/>
      <c r="G83" s="1"/>
      <c r="H83" s="1"/>
      <c r="I83" s="1"/>
      <c r="J83" s="1"/>
      <c r="K83" s="1"/>
    </row>
    <row r="84" spans="2:11" ht="18.5" x14ac:dyDescent="0.45">
      <c r="B84" s="236" t="s">
        <v>75</v>
      </c>
      <c r="C84" s="236"/>
      <c r="D84" s="236"/>
      <c r="E84" s="236"/>
      <c r="F84" s="236"/>
      <c r="G84" s="236"/>
      <c r="H84" s="143"/>
      <c r="I84" s="143"/>
      <c r="J84" s="1"/>
      <c r="K84" s="1"/>
    </row>
    <row r="85" spans="2:11" ht="16" thickBot="1" x14ac:dyDescent="0.4">
      <c r="B85" s="33" t="s">
        <v>29</v>
      </c>
      <c r="C85" s="33"/>
      <c r="D85" s="34" t="s">
        <v>30</v>
      </c>
      <c r="E85" s="33" t="s">
        <v>31</v>
      </c>
      <c r="F85" s="33" t="s">
        <v>32</v>
      </c>
      <c r="G85" s="1"/>
      <c r="H85" s="1"/>
      <c r="I85" s="1"/>
      <c r="J85" s="1"/>
      <c r="K85" s="1"/>
    </row>
    <row r="86" spans="2:11" x14ac:dyDescent="0.35">
      <c r="B86" s="31" t="s">
        <v>33</v>
      </c>
      <c r="C86" s="31"/>
      <c r="D86" s="6"/>
      <c r="E86" s="7"/>
      <c r="F86" s="7"/>
      <c r="G86" s="1"/>
      <c r="H86" s="1"/>
      <c r="I86" s="1"/>
      <c r="J86" s="1"/>
      <c r="K86" s="1"/>
    </row>
    <row r="87" spans="2:11" x14ac:dyDescent="0.35">
      <c r="B87" s="7" t="s">
        <v>34</v>
      </c>
      <c r="C87" s="7"/>
      <c r="D87" s="50">
        <f>F14*D91</f>
        <v>60000.000000000015</v>
      </c>
      <c r="E87" s="51">
        <f>I8</f>
        <v>7.0000000000000007E-2</v>
      </c>
      <c r="F87" s="11">
        <f>E87*D87</f>
        <v>4200.0000000000018</v>
      </c>
      <c r="G87" s="1"/>
      <c r="H87" s="1"/>
      <c r="I87" s="1"/>
      <c r="J87" s="1"/>
      <c r="K87" s="1"/>
    </row>
    <row r="88" spans="2:11" x14ac:dyDescent="0.35">
      <c r="B88" s="7" t="s">
        <v>35</v>
      </c>
      <c r="C88" s="7"/>
      <c r="D88" s="50">
        <f>F15*D91</f>
        <v>300000.00000000006</v>
      </c>
      <c r="E88" s="51">
        <f>I9</f>
        <v>0.05</v>
      </c>
      <c r="F88" s="11">
        <f>E88*D88</f>
        <v>15000.000000000004</v>
      </c>
      <c r="G88" s="1"/>
      <c r="H88" s="1"/>
      <c r="I88" s="1"/>
      <c r="J88" s="1"/>
      <c r="K88" s="1"/>
    </row>
    <row r="89" spans="2:11" x14ac:dyDescent="0.35">
      <c r="B89" s="7" t="s">
        <v>36</v>
      </c>
      <c r="C89" s="7"/>
      <c r="D89" s="50">
        <f>F16*D91</f>
        <v>240000.00000000006</v>
      </c>
      <c r="E89" s="52">
        <f>I10</f>
        <v>3.5000000000000003E-2</v>
      </c>
      <c r="F89" s="13">
        <f>E89*D89</f>
        <v>8400.0000000000036</v>
      </c>
      <c r="G89" s="1"/>
      <c r="H89" s="1"/>
      <c r="I89" s="1"/>
      <c r="J89" s="1"/>
      <c r="K89" s="1"/>
    </row>
    <row r="90" spans="2:11" x14ac:dyDescent="0.35">
      <c r="B90" s="261"/>
      <c r="C90" s="261"/>
      <c r="D90" s="261"/>
      <c r="E90" s="261"/>
      <c r="F90" s="261"/>
      <c r="G90" s="261"/>
      <c r="H90" s="1"/>
      <c r="I90" s="1"/>
      <c r="J90" s="1"/>
      <c r="K90" s="1"/>
    </row>
    <row r="91" spans="2:11" x14ac:dyDescent="0.35">
      <c r="B91" s="5" t="s">
        <v>79</v>
      </c>
      <c r="C91" s="5"/>
      <c r="D91" s="50">
        <f>D94*F12</f>
        <v>600000.00000000012</v>
      </c>
      <c r="E91" s="51"/>
      <c r="F91" s="53">
        <f>SUM(F87:F89)</f>
        <v>27600.000000000011</v>
      </c>
      <c r="G91" s="1"/>
      <c r="H91" s="1"/>
      <c r="I91" s="1"/>
      <c r="J91" s="1"/>
      <c r="K91" s="1"/>
    </row>
    <row r="92" spans="2:11" x14ac:dyDescent="0.35">
      <c r="B92" s="261"/>
      <c r="C92" s="261"/>
      <c r="D92" s="261"/>
      <c r="E92" s="261"/>
      <c r="F92" s="261"/>
      <c r="G92" s="261"/>
      <c r="H92" s="1"/>
      <c r="I92" s="1"/>
      <c r="J92" s="1"/>
      <c r="K92" s="1"/>
    </row>
    <row r="93" spans="2:11" x14ac:dyDescent="0.35">
      <c r="B93" s="31" t="s">
        <v>14</v>
      </c>
      <c r="C93" s="31"/>
      <c r="D93" s="31"/>
      <c r="E93" s="50"/>
      <c r="F93" s="51"/>
      <c r="G93" s="11"/>
      <c r="H93" s="1"/>
      <c r="I93" s="1"/>
      <c r="J93" s="1"/>
      <c r="K93" s="1"/>
    </row>
    <row r="94" spans="2:11" x14ac:dyDescent="0.35">
      <c r="B94" s="7" t="s">
        <v>82</v>
      </c>
      <c r="C94" s="7"/>
      <c r="D94" s="50">
        <f>F6</f>
        <v>1000000</v>
      </c>
      <c r="E94" s="52">
        <f>I6</f>
        <v>6.0000000000000001E-3</v>
      </c>
      <c r="F94" s="11">
        <f>E94*D94</f>
        <v>6000</v>
      </c>
      <c r="G94" s="1"/>
      <c r="H94" s="1"/>
      <c r="I94" s="1"/>
      <c r="J94" s="1"/>
      <c r="K94" s="1"/>
    </row>
    <row r="95" spans="2:11" x14ac:dyDescent="0.35">
      <c r="B95" s="7" t="s">
        <v>83</v>
      </c>
      <c r="C95" s="7"/>
      <c r="D95" s="50">
        <f>F19+F18</f>
        <v>752</v>
      </c>
      <c r="E95" s="11">
        <f>D42</f>
        <v>2</v>
      </c>
      <c r="F95" s="11">
        <f>E95*D95</f>
        <v>1504</v>
      </c>
      <c r="G95" s="1"/>
      <c r="H95" s="1"/>
      <c r="I95" s="1"/>
      <c r="J95" s="1"/>
      <c r="K95" s="1"/>
    </row>
    <row r="96" spans="2:11" x14ac:dyDescent="0.35">
      <c r="B96" s="7" t="s">
        <v>84</v>
      </c>
      <c r="C96" s="7"/>
      <c r="D96" s="50">
        <f>C43</f>
        <v>205</v>
      </c>
      <c r="E96" s="51">
        <f>D43</f>
        <v>3.5</v>
      </c>
      <c r="F96" s="11">
        <f>ROUND(E96*D96,0)</f>
        <v>718</v>
      </c>
      <c r="G96" s="1"/>
      <c r="H96" s="1"/>
      <c r="I96" s="1"/>
      <c r="J96" s="1"/>
      <c r="K96" s="1"/>
    </row>
    <row r="97" spans="2:11" x14ac:dyDescent="0.35">
      <c r="B97" s="7" t="s">
        <v>85</v>
      </c>
      <c r="C97" s="7"/>
      <c r="D97" s="50">
        <f>C44</f>
        <v>205</v>
      </c>
      <c r="E97" s="51">
        <f>D44</f>
        <v>3.5</v>
      </c>
      <c r="F97" s="11">
        <f>ROUND(E97*D97,0)</f>
        <v>718</v>
      </c>
      <c r="G97" s="1"/>
      <c r="H97" s="1"/>
      <c r="I97" s="1"/>
      <c r="J97" s="1"/>
      <c r="K97" s="1"/>
    </row>
    <row r="98" spans="2:11" x14ac:dyDescent="0.35">
      <c r="B98" s="7" t="s">
        <v>109</v>
      </c>
      <c r="C98" s="7"/>
      <c r="D98" s="50"/>
      <c r="E98" s="4"/>
      <c r="F98" s="11">
        <f>D46</f>
        <v>2800</v>
      </c>
      <c r="G98" s="1"/>
      <c r="H98" s="1"/>
      <c r="I98" s="1"/>
      <c r="J98" s="1"/>
      <c r="K98" s="1"/>
    </row>
    <row r="99" spans="2:11" x14ac:dyDescent="0.35">
      <c r="B99" s="7" t="s">
        <v>86</v>
      </c>
      <c r="C99" s="7"/>
      <c r="D99" s="50">
        <f>C47</f>
        <v>662</v>
      </c>
      <c r="E99" s="51">
        <f>D47</f>
        <v>1.25</v>
      </c>
      <c r="F99" s="11">
        <f>ROUND(E99*D99,0)</f>
        <v>828</v>
      </c>
      <c r="G99" s="1"/>
      <c r="H99" s="1"/>
      <c r="I99" s="1"/>
      <c r="J99" s="1"/>
      <c r="K99" s="1"/>
    </row>
    <row r="100" spans="2:11" x14ac:dyDescent="0.35">
      <c r="B100" s="7" t="s">
        <v>87</v>
      </c>
      <c r="C100" s="7"/>
      <c r="D100" s="50">
        <f>C45</f>
        <v>1</v>
      </c>
      <c r="E100" s="11">
        <f>D45</f>
        <v>100</v>
      </c>
      <c r="F100" s="11">
        <f>D100*E100</f>
        <v>100</v>
      </c>
      <c r="G100" s="1"/>
      <c r="H100" s="1"/>
      <c r="I100" s="1"/>
      <c r="J100" s="1"/>
      <c r="K100" s="1"/>
    </row>
    <row r="101" spans="2:11" x14ac:dyDescent="0.35">
      <c r="B101" s="7" t="s">
        <v>105</v>
      </c>
      <c r="C101" s="7"/>
      <c r="D101" s="50"/>
      <c r="E101" s="11"/>
      <c r="F101" s="11">
        <f>D48</f>
        <v>4400</v>
      </c>
      <c r="G101" s="1"/>
      <c r="H101" s="1"/>
      <c r="I101" s="1"/>
      <c r="J101" s="1"/>
      <c r="K101" s="1"/>
    </row>
    <row r="102" spans="2:11" x14ac:dyDescent="0.35">
      <c r="B102" s="7" t="s">
        <v>80</v>
      </c>
      <c r="C102" s="7"/>
      <c r="D102" s="50"/>
      <c r="E102" s="51"/>
      <c r="F102" s="13">
        <f>D49</f>
        <v>250</v>
      </c>
      <c r="G102" s="1"/>
      <c r="H102" s="1"/>
      <c r="I102" s="1"/>
      <c r="J102" s="1"/>
      <c r="K102" s="1"/>
    </row>
    <row r="103" spans="2:11" x14ac:dyDescent="0.35">
      <c r="B103" s="5" t="s">
        <v>37</v>
      </c>
      <c r="C103" s="5"/>
      <c r="D103" s="5"/>
      <c r="E103" s="50"/>
      <c r="F103" s="11">
        <f>SUM(F94:F102)</f>
        <v>17318</v>
      </c>
      <c r="G103" s="53"/>
      <c r="H103" s="1"/>
      <c r="I103" s="1"/>
      <c r="J103" s="1"/>
      <c r="K103" s="1"/>
    </row>
    <row r="104" spans="2:11" x14ac:dyDescent="0.35">
      <c r="B104" s="261"/>
      <c r="C104" s="261"/>
      <c r="D104" s="261"/>
      <c r="E104" s="261"/>
      <c r="F104" s="261"/>
      <c r="G104" s="261"/>
      <c r="H104" s="1"/>
      <c r="I104" s="1"/>
      <c r="J104" s="1"/>
      <c r="K104" s="1"/>
    </row>
    <row r="105" spans="2:11" x14ac:dyDescent="0.35">
      <c r="B105" s="31" t="s">
        <v>38</v>
      </c>
      <c r="C105" s="31"/>
      <c r="D105" s="31"/>
      <c r="E105" s="50"/>
      <c r="F105" s="51"/>
      <c r="G105" s="11"/>
      <c r="H105" s="1"/>
      <c r="I105" s="1"/>
      <c r="J105" s="1"/>
      <c r="K105" s="1"/>
    </row>
    <row r="106" spans="2:11" x14ac:dyDescent="0.35">
      <c r="B106" s="123" t="s">
        <v>19</v>
      </c>
      <c r="C106" s="7"/>
      <c r="D106" s="7"/>
      <c r="E106" s="6"/>
      <c r="F106" s="7"/>
      <c r="G106" s="7"/>
      <c r="H106" s="1"/>
      <c r="I106" s="1"/>
      <c r="J106" s="1"/>
      <c r="K106" s="1"/>
    </row>
    <row r="107" spans="2:11" x14ac:dyDescent="0.35">
      <c r="B107" s="7" t="s">
        <v>114</v>
      </c>
      <c r="C107" s="7"/>
      <c r="D107" s="50">
        <f t="shared" ref="D107:E111" si="3">C51</f>
        <v>1</v>
      </c>
      <c r="E107" s="11">
        <f t="shared" si="3"/>
        <v>750</v>
      </c>
      <c r="F107" s="11">
        <f>E107*D107</f>
        <v>750</v>
      </c>
      <c r="G107" s="1"/>
      <c r="H107" s="1"/>
      <c r="I107" s="1"/>
      <c r="J107" s="1"/>
      <c r="K107" s="1"/>
    </row>
    <row r="108" spans="2:11" x14ac:dyDescent="0.35">
      <c r="B108" s="7" t="s">
        <v>115</v>
      </c>
      <c r="C108" s="7"/>
      <c r="D108" s="50">
        <f t="shared" si="3"/>
        <v>1</v>
      </c>
      <c r="E108" s="11">
        <f t="shared" si="3"/>
        <v>250</v>
      </c>
      <c r="F108" s="11">
        <f>D108*E108</f>
        <v>250</v>
      </c>
      <c r="G108" s="1"/>
      <c r="H108" s="1"/>
      <c r="I108" s="1"/>
      <c r="J108" s="1"/>
      <c r="K108" s="1"/>
    </row>
    <row r="109" spans="2:11" x14ac:dyDescent="0.35">
      <c r="B109" s="7" t="s">
        <v>81</v>
      </c>
      <c r="C109" s="7"/>
      <c r="D109" s="50">
        <f t="shared" si="3"/>
        <v>1</v>
      </c>
      <c r="E109" s="11">
        <f t="shared" si="3"/>
        <v>500</v>
      </c>
      <c r="F109" s="11">
        <f>E109*D109</f>
        <v>500</v>
      </c>
      <c r="G109" s="1"/>
      <c r="H109" s="1"/>
      <c r="I109" s="1"/>
      <c r="J109" s="1"/>
      <c r="K109" s="1"/>
    </row>
    <row r="110" spans="2:11" x14ac:dyDescent="0.35">
      <c r="B110" s="7" t="s">
        <v>112</v>
      </c>
      <c r="C110" s="7"/>
      <c r="D110" s="50">
        <f t="shared" si="3"/>
        <v>1</v>
      </c>
      <c r="E110" s="11">
        <f t="shared" si="3"/>
        <v>27</v>
      </c>
      <c r="F110" s="11">
        <f>D110*E110</f>
        <v>27</v>
      </c>
      <c r="G110" s="1"/>
      <c r="H110" s="1"/>
      <c r="I110" s="1"/>
      <c r="J110" s="1"/>
      <c r="K110" s="1"/>
    </row>
    <row r="111" spans="2:11" x14ac:dyDescent="0.35">
      <c r="B111" s="7" t="s">
        <v>113</v>
      </c>
      <c r="C111" s="7"/>
      <c r="D111" s="50">
        <f t="shared" si="3"/>
        <v>1</v>
      </c>
      <c r="E111" s="11">
        <f t="shared" si="3"/>
        <v>100</v>
      </c>
      <c r="F111" s="11">
        <f>E111*D111</f>
        <v>100</v>
      </c>
      <c r="G111" s="1"/>
      <c r="H111" s="1"/>
      <c r="I111" s="1"/>
      <c r="J111" s="1"/>
      <c r="K111" s="1"/>
    </row>
    <row r="112" spans="2:11" x14ac:dyDescent="0.35">
      <c r="B112" s="261"/>
      <c r="C112" s="261"/>
      <c r="D112" s="261"/>
      <c r="E112" s="261"/>
      <c r="F112" s="261"/>
      <c r="G112" s="261"/>
      <c r="H112" s="1"/>
      <c r="I112" s="1"/>
      <c r="J112" s="1"/>
      <c r="K112" s="1"/>
    </row>
    <row r="113" spans="2:11" x14ac:dyDescent="0.35">
      <c r="B113" s="7" t="s">
        <v>39</v>
      </c>
      <c r="C113" s="7"/>
      <c r="D113" s="7"/>
      <c r="E113" s="6"/>
      <c r="F113" s="11">
        <f>ROUND(AVERAGE(G30:K30),0)</f>
        <v>918</v>
      </c>
      <c r="G113" s="1"/>
      <c r="H113" s="1"/>
      <c r="I113" s="1"/>
      <c r="J113" s="1"/>
      <c r="K113" s="1"/>
    </row>
    <row r="114" spans="2:11" x14ac:dyDescent="0.35">
      <c r="B114" s="7" t="s">
        <v>40</v>
      </c>
      <c r="C114" s="7"/>
      <c r="D114" s="7"/>
      <c r="E114" s="6"/>
      <c r="F114" s="13">
        <f>AVERAGE(E81:I81)</f>
        <v>915.46666666666681</v>
      </c>
      <c r="G114" s="1"/>
      <c r="H114" s="1"/>
      <c r="I114" s="1"/>
      <c r="J114" s="1"/>
      <c r="K114" s="1"/>
    </row>
    <row r="115" spans="2:11" x14ac:dyDescent="0.35">
      <c r="B115" s="5" t="s">
        <v>41</v>
      </c>
      <c r="C115" s="5"/>
      <c r="D115" s="5"/>
      <c r="E115" s="6"/>
      <c r="F115" s="53">
        <f>SUM(F107:F114)</f>
        <v>3460.4666666666667</v>
      </c>
      <c r="G115" s="1"/>
      <c r="H115" s="1"/>
      <c r="I115" s="1"/>
      <c r="J115" s="1"/>
      <c r="K115" s="1"/>
    </row>
    <row r="116" spans="2:11" x14ac:dyDescent="0.35">
      <c r="B116" s="5"/>
      <c r="C116" s="5"/>
      <c r="D116" s="5"/>
      <c r="E116" s="6"/>
      <c r="F116" s="53"/>
      <c r="G116" s="1"/>
      <c r="H116" s="1"/>
      <c r="I116" s="1"/>
      <c r="J116" s="1"/>
      <c r="K116" s="1"/>
    </row>
    <row r="117" spans="2:11" x14ac:dyDescent="0.35">
      <c r="B117" s="31" t="s">
        <v>90</v>
      </c>
      <c r="C117" s="31"/>
      <c r="D117" s="31"/>
      <c r="E117" s="6"/>
      <c r="F117" s="53">
        <f>F115+F103</f>
        <v>20778.466666666667</v>
      </c>
      <c r="G117" s="1"/>
      <c r="H117" s="1"/>
      <c r="I117" s="1"/>
      <c r="J117" s="1"/>
      <c r="K117" s="1"/>
    </row>
    <row r="118" spans="2:11" x14ac:dyDescent="0.35">
      <c r="B118" s="31"/>
      <c r="C118" s="31"/>
      <c r="D118" s="31"/>
      <c r="E118" s="6"/>
      <c r="F118" s="11"/>
      <c r="G118" s="1"/>
      <c r="H118" s="1"/>
      <c r="I118" s="1"/>
      <c r="J118" s="1"/>
      <c r="K118" s="1"/>
    </row>
    <row r="119" spans="2:11" x14ac:dyDescent="0.35">
      <c r="B119" s="31" t="s">
        <v>122</v>
      </c>
      <c r="C119" s="31"/>
      <c r="D119" s="31"/>
      <c r="E119" s="6"/>
      <c r="F119" s="11"/>
      <c r="G119" s="1"/>
      <c r="H119" s="1"/>
      <c r="I119" s="1"/>
      <c r="J119" s="1"/>
      <c r="K119" s="1"/>
    </row>
    <row r="120" spans="2:11" x14ac:dyDescent="0.35">
      <c r="B120" s="123" t="s">
        <v>123</v>
      </c>
      <c r="C120" s="31"/>
      <c r="D120" s="31"/>
      <c r="E120" s="6"/>
      <c r="F120" s="11"/>
      <c r="G120" s="1"/>
      <c r="H120" s="1"/>
      <c r="I120" s="1"/>
      <c r="J120" s="1"/>
      <c r="K120" s="1"/>
    </row>
    <row r="121" spans="2:11" x14ac:dyDescent="0.35">
      <c r="B121" s="5" t="s">
        <v>119</v>
      </c>
      <c r="C121" s="31"/>
      <c r="D121" s="31"/>
      <c r="E121" s="6"/>
      <c r="F121" s="11">
        <f>F91-(F117-F114)</f>
        <v>7737.0000000000109</v>
      </c>
      <c r="G121" s="1"/>
      <c r="H121" s="1"/>
      <c r="I121" s="1"/>
      <c r="J121" s="1"/>
      <c r="K121" s="1"/>
    </row>
    <row r="122" spans="2:11" x14ac:dyDescent="0.35">
      <c r="B122" s="5" t="s">
        <v>120</v>
      </c>
      <c r="C122" s="31"/>
      <c r="D122" s="31"/>
      <c r="E122" s="6"/>
      <c r="F122" s="157">
        <f>(F117-F114)/D91</f>
        <v>3.3104999999999996E-2</v>
      </c>
      <c r="G122" s="1"/>
      <c r="H122" s="1"/>
      <c r="I122" s="1"/>
      <c r="J122" s="1"/>
      <c r="K122" s="1"/>
    </row>
    <row r="123" spans="2:11" x14ac:dyDescent="0.35">
      <c r="B123" s="5" t="s">
        <v>121</v>
      </c>
      <c r="C123" s="31"/>
      <c r="D123" s="31"/>
      <c r="E123" s="6"/>
      <c r="F123" s="55">
        <f>((F117-F114)/(E87*(D87/D91)+E88*(D88/D91)+E89*(D89/D91)))/D94</f>
        <v>0.43180434782608695</v>
      </c>
      <c r="G123" s="1"/>
      <c r="H123" s="1"/>
      <c r="I123" s="1"/>
      <c r="J123" s="1"/>
      <c r="K123" s="1"/>
    </row>
    <row r="124" spans="2:11" x14ac:dyDescent="0.35">
      <c r="B124" s="5"/>
      <c r="C124" s="31"/>
      <c r="D124" s="31"/>
      <c r="E124" s="6"/>
      <c r="F124" s="55"/>
      <c r="G124" s="1"/>
      <c r="H124" s="1"/>
      <c r="I124" s="1"/>
      <c r="J124" s="1"/>
      <c r="K124" s="1"/>
    </row>
    <row r="125" spans="2:11" x14ac:dyDescent="0.35">
      <c r="B125" s="158" t="s">
        <v>90</v>
      </c>
      <c r="C125" s="156"/>
      <c r="D125" s="156"/>
      <c r="E125" s="156"/>
      <c r="F125" s="156"/>
      <c r="G125" s="156"/>
      <c r="H125" s="1"/>
      <c r="I125" s="1"/>
      <c r="J125" s="1"/>
      <c r="K125" s="1"/>
    </row>
    <row r="126" spans="2:11" x14ac:dyDescent="0.35">
      <c r="B126" s="5" t="s">
        <v>42</v>
      </c>
      <c r="C126" s="5"/>
      <c r="D126" s="5"/>
      <c r="E126" s="6"/>
      <c r="F126" s="11">
        <f>F91-F117</f>
        <v>6821.5333333333438</v>
      </c>
      <c r="G126" s="1"/>
      <c r="H126" s="1"/>
      <c r="I126" s="1"/>
      <c r="J126" s="1"/>
      <c r="K126" s="1"/>
    </row>
    <row r="127" spans="2:11" x14ac:dyDescent="0.35">
      <c r="B127" s="5" t="s">
        <v>43</v>
      </c>
      <c r="C127" s="5"/>
      <c r="D127" s="5"/>
      <c r="E127" s="6"/>
      <c r="F127" s="54">
        <f>F117/D91</f>
        <v>3.4630777777777774E-2</v>
      </c>
      <c r="G127" s="1"/>
      <c r="H127" s="1"/>
      <c r="I127" s="1"/>
      <c r="J127" s="1"/>
      <c r="K127" s="1"/>
    </row>
    <row r="128" spans="2:11" x14ac:dyDescent="0.35">
      <c r="B128" s="5" t="s">
        <v>44</v>
      </c>
      <c r="C128" s="5"/>
      <c r="D128" s="5"/>
      <c r="E128" s="6"/>
      <c r="F128" s="55">
        <f>(F117/(E87*(D87/D91)+E88*(D88/D91)+E89*(D89/D91)))/D94</f>
        <v>0.45170579710144926</v>
      </c>
      <c r="G128" s="1"/>
      <c r="H128" s="1"/>
      <c r="I128" s="1"/>
      <c r="J128" s="1"/>
      <c r="K128" s="1"/>
    </row>
    <row r="129" spans="2:11" x14ac:dyDescent="0.35">
      <c r="B129" s="1"/>
      <c r="C129" s="1"/>
      <c r="D129" s="1"/>
      <c r="E129" s="4"/>
      <c r="F129" s="1"/>
      <c r="G129" s="1"/>
      <c r="H129" s="1"/>
      <c r="I129" s="1"/>
      <c r="J129" s="1"/>
      <c r="K129" s="1"/>
    </row>
  </sheetData>
  <mergeCells count="23">
    <mergeCell ref="B112:G112"/>
    <mergeCell ref="B90:G90"/>
    <mergeCell ref="D16:E16"/>
    <mergeCell ref="E71:F71"/>
    <mergeCell ref="B84:G84"/>
    <mergeCell ref="B92:G92"/>
    <mergeCell ref="B104:G104"/>
    <mergeCell ref="B60:I60"/>
    <mergeCell ref="D17:E17"/>
    <mergeCell ref="D18:E18"/>
    <mergeCell ref="D12:E12"/>
    <mergeCell ref="D13:F13"/>
    <mergeCell ref="D14:E14"/>
    <mergeCell ref="D15:E15"/>
    <mergeCell ref="D19:E19"/>
    <mergeCell ref="B21:K21"/>
    <mergeCell ref="B38:I38"/>
    <mergeCell ref="D11:E11"/>
    <mergeCell ref="D6:E6"/>
    <mergeCell ref="D7:E7"/>
    <mergeCell ref="D8:E8"/>
    <mergeCell ref="D9:E9"/>
    <mergeCell ref="D10:E10"/>
  </mergeCells>
  <dataValidations count="4">
    <dataValidation type="decimal" operator="greaterThan" allowBlank="1" showInputMessage="1" showErrorMessage="1" sqref="I8:I10 I6 F7:F8 F10:F12">
      <formula1>0</formula1>
    </dataValidation>
    <dataValidation type="whole" operator="greaterThan" allowBlank="1" showInputMessage="1" showErrorMessage="1" sqref="C23:C29 D25:D29 E25 F54:I55 E51:E55 F6 E41:E42 F48:I48 E44:E49 D76:D80 C74:C80">
      <formula1>0</formula1>
    </dataValidation>
    <dataValidation type="whole" allowBlank="1" showInputMessage="1" showErrorMessage="1" sqref="E26:E29">
      <formula1>0</formula1>
      <formula2>1</formula2>
    </dataValidation>
    <dataValidation type="decimal" operator="greaterThanOrEqual" allowBlank="1" showInputMessage="1" showErrorMessage="1" sqref="F14:F16">
      <formula1>0</formula1>
    </dataValidation>
  </dataValidations>
  <pageMargins left="0.75" right="0.7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Introduction</vt:lpstr>
      <vt:lpstr>Questionnaire </vt:lpstr>
      <vt:lpstr>Instructions</vt:lpstr>
      <vt:lpstr>Budget</vt:lpstr>
      <vt:lpstr>Cash Cost Sensitivities (1)</vt:lpstr>
      <vt:lpstr>Cash Cost Sensitivities (2)</vt:lpstr>
      <vt:lpstr>Total Cost Sensitivities (1)</vt:lpstr>
      <vt:lpstr>Total Cost Sensitivities (2)</vt:lpstr>
      <vt:lpstr>Size Distribution Proxy (9)</vt:lpstr>
      <vt:lpstr>Size Distribution Proxy (8)</vt:lpstr>
      <vt:lpstr>Size Distribution Proxy (7)</vt:lpstr>
      <vt:lpstr>Size Distribution Proxy (6)</vt:lpstr>
      <vt:lpstr>Size Distribution Proxy (5)</vt:lpstr>
      <vt:lpstr>Size Distribution Proxy (4)</vt:lpstr>
      <vt:lpstr>Size Distribution Proxy (3)</vt:lpstr>
      <vt:lpstr>Size Distribution Proxy (2)</vt:lpstr>
      <vt:lpstr>Size Distribution Proxy (1)</vt:lpstr>
      <vt:lpstr>Market Price Proxy (11)</vt:lpstr>
      <vt:lpstr>Market Price Proxy (10)</vt:lpstr>
      <vt:lpstr>Market Price Proxy (9)</vt:lpstr>
      <vt:lpstr>Market Price Proxy (8)</vt:lpstr>
      <vt:lpstr>Market Price Proxy (7)</vt:lpstr>
      <vt:lpstr>Market Price Proxy (6)</vt:lpstr>
      <vt:lpstr>Market Price Proxy (5)</vt:lpstr>
      <vt:lpstr>Market Price Proxy (4)</vt:lpstr>
      <vt:lpstr>Market Price Proxy (3)</vt:lpstr>
      <vt:lpstr>Market Price Proxy (2)</vt:lpstr>
      <vt:lpstr>Market Price Proxy (1)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Anderson</dc:creator>
  <cp:lastModifiedBy>Sturmer, Leslie</cp:lastModifiedBy>
  <cp:lastPrinted>2014-05-04T20:05:11Z</cp:lastPrinted>
  <dcterms:created xsi:type="dcterms:W3CDTF">2013-10-09T15:43:00Z</dcterms:created>
  <dcterms:modified xsi:type="dcterms:W3CDTF">2017-06-23T14:34:54Z</dcterms:modified>
</cp:coreProperties>
</file>