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RAC\"/>
    </mc:Choice>
  </mc:AlternateContent>
  <bookViews>
    <workbookView xWindow="0" yWindow="0" windowWidth="23040" windowHeight="9375" activeTab="6"/>
  </bookViews>
  <sheets>
    <sheet name="Georgia" sheetId="9" r:id="rId1"/>
    <sheet name="South Carolina" sheetId="3" r:id="rId2"/>
    <sheet name="North Carolina" sheetId="8" r:id="rId3"/>
    <sheet name="Florida" sheetId="14" r:id="rId4"/>
    <sheet name="Alabama" sheetId="12" r:id="rId5"/>
    <sheet name="Mississippi" sheetId="11" r:id="rId6"/>
    <sheet name="Louisiana" sheetId="13" r:id="rId7"/>
  </sheets>
  <calcPr calcId="152511"/>
</workbook>
</file>

<file path=xl/calcChain.xml><?xml version="1.0" encoding="utf-8"?>
<calcChain xmlns="http://schemas.openxmlformats.org/spreadsheetml/2006/main">
  <c r="F15" i="13" l="1"/>
  <c r="H15" i="12"/>
  <c r="H15" i="9"/>
  <c r="G15" i="9"/>
  <c r="F15" i="9"/>
  <c r="H15" i="14"/>
  <c r="G15" i="14"/>
  <c r="F15" i="14"/>
  <c r="H14" i="14"/>
  <c r="G14" i="14"/>
  <c r="F14" i="14"/>
  <c r="H13" i="14"/>
  <c r="G13" i="14"/>
  <c r="F13" i="14"/>
  <c r="B11" i="14"/>
  <c r="B10" i="14"/>
  <c r="B8" i="14"/>
  <c r="B7" i="14"/>
  <c r="F7" i="14"/>
  <c r="F8" i="14" s="1"/>
  <c r="H6" i="14"/>
  <c r="H7" i="14" s="1"/>
  <c r="H8" i="14" s="1"/>
  <c r="G6" i="14"/>
  <c r="G7" i="14" s="1"/>
  <c r="G8" i="14" s="1"/>
  <c r="F6" i="14"/>
  <c r="H5" i="14"/>
  <c r="G5" i="14"/>
  <c r="F5" i="14"/>
  <c r="H14" i="13"/>
  <c r="G14" i="13"/>
  <c r="F14" i="13"/>
  <c r="H13" i="13"/>
  <c r="G13" i="13"/>
  <c r="F13" i="13"/>
  <c r="B11" i="13"/>
  <c r="B10" i="13"/>
  <c r="B8" i="13"/>
  <c r="B7" i="13"/>
  <c r="B9" i="13" s="1"/>
  <c r="B12" i="13" s="1"/>
  <c r="F7" i="13"/>
  <c r="F8" i="13" s="1"/>
  <c r="H6" i="13"/>
  <c r="H7" i="13" s="1"/>
  <c r="H8" i="13" s="1"/>
  <c r="G6" i="13"/>
  <c r="G7" i="13" s="1"/>
  <c r="G8" i="13" s="1"/>
  <c r="F6" i="13"/>
  <c r="H5" i="13"/>
  <c r="G5" i="13"/>
  <c r="F5" i="13"/>
  <c r="H14" i="12"/>
  <c r="G14" i="12"/>
  <c r="F14" i="12"/>
  <c r="H13" i="12"/>
  <c r="G13" i="12"/>
  <c r="F13" i="12"/>
  <c r="B11" i="12"/>
  <c r="B10" i="12"/>
  <c r="B8" i="12"/>
  <c r="B7" i="12"/>
  <c r="B9" i="12" s="1"/>
  <c r="B12" i="12" s="1"/>
  <c r="F7" i="12"/>
  <c r="F8" i="12" s="1"/>
  <c r="H6" i="12"/>
  <c r="H7" i="12" s="1"/>
  <c r="H8" i="12" s="1"/>
  <c r="G6" i="12"/>
  <c r="G7" i="12" s="1"/>
  <c r="G8" i="12" s="1"/>
  <c r="F6" i="12"/>
  <c r="H5" i="12"/>
  <c r="G5" i="12"/>
  <c r="F5" i="12"/>
  <c r="B9" i="14" l="1"/>
  <c r="B12" i="14" s="1"/>
  <c r="H12" i="14" s="1"/>
  <c r="H16" i="14" s="1"/>
  <c r="F9" i="14"/>
  <c r="F10" i="14"/>
  <c r="H10" i="14"/>
  <c r="H9" i="14"/>
  <c r="G10" i="14"/>
  <c r="G9" i="14"/>
  <c r="H12" i="13"/>
  <c r="H16" i="13" s="1"/>
  <c r="G12" i="13"/>
  <c r="G16" i="13" s="1"/>
  <c r="F12" i="13"/>
  <c r="F16" i="13" s="1"/>
  <c r="G10" i="13"/>
  <c r="G20" i="13" s="1"/>
  <c r="G9" i="13"/>
  <c r="H10" i="13"/>
  <c r="H9" i="13"/>
  <c r="F10" i="13"/>
  <c r="F9" i="13"/>
  <c r="H10" i="12"/>
  <c r="H9" i="12"/>
  <c r="F9" i="12"/>
  <c r="F10" i="12"/>
  <c r="F20" i="12" s="1"/>
  <c r="G12" i="12"/>
  <c r="G16" i="12" s="1"/>
  <c r="H12" i="12"/>
  <c r="H16" i="12" s="1"/>
  <c r="F12" i="12"/>
  <c r="F16" i="12" s="1"/>
  <c r="G10" i="12"/>
  <c r="G9" i="12"/>
  <c r="G19" i="12" s="1"/>
  <c r="H14" i="11"/>
  <c r="G14" i="11"/>
  <c r="F14" i="11"/>
  <c r="H13" i="11"/>
  <c r="G13" i="11"/>
  <c r="F13" i="11"/>
  <c r="B11" i="11"/>
  <c r="B10" i="11"/>
  <c r="B8" i="11"/>
  <c r="B7" i="11"/>
  <c r="B9" i="11" s="1"/>
  <c r="B12" i="11" s="1"/>
  <c r="H7" i="11"/>
  <c r="H8" i="11" s="1"/>
  <c r="F7" i="11"/>
  <c r="F8" i="11" s="1"/>
  <c r="H6" i="11"/>
  <c r="G6" i="11"/>
  <c r="G7" i="11" s="1"/>
  <c r="G8" i="11" s="1"/>
  <c r="F6" i="11"/>
  <c r="H5" i="11"/>
  <c r="G5" i="11"/>
  <c r="F5" i="11"/>
  <c r="H14" i="9"/>
  <c r="G14" i="9"/>
  <c r="F14" i="9"/>
  <c r="H13" i="9"/>
  <c r="G13" i="9"/>
  <c r="F13" i="9"/>
  <c r="B11" i="9"/>
  <c r="B10" i="9"/>
  <c r="B8" i="9"/>
  <c r="B7" i="9"/>
  <c r="B9" i="9" s="1"/>
  <c r="H6" i="9"/>
  <c r="H7" i="9" s="1"/>
  <c r="H8" i="9" s="1"/>
  <c r="G6" i="9"/>
  <c r="G7" i="9" s="1"/>
  <c r="G8" i="9" s="1"/>
  <c r="F6" i="9"/>
  <c r="F7" i="9" s="1"/>
  <c r="F8" i="9" s="1"/>
  <c r="H5" i="9"/>
  <c r="G5" i="9"/>
  <c r="F5" i="9"/>
  <c r="H14" i="8"/>
  <c r="G14" i="8"/>
  <c r="F14" i="8"/>
  <c r="H13" i="8"/>
  <c r="G13" i="8"/>
  <c r="F13" i="8"/>
  <c r="B11" i="8"/>
  <c r="B10" i="8"/>
  <c r="B8" i="8"/>
  <c r="B7" i="8"/>
  <c r="B9" i="8" s="1"/>
  <c r="B12" i="8" s="1"/>
  <c r="F7" i="8"/>
  <c r="F8" i="8" s="1"/>
  <c r="H6" i="8"/>
  <c r="H7" i="8" s="1"/>
  <c r="H8" i="8" s="1"/>
  <c r="G6" i="8"/>
  <c r="G7" i="8" s="1"/>
  <c r="G8" i="8" s="1"/>
  <c r="F6" i="8"/>
  <c r="H5" i="8"/>
  <c r="G5" i="8"/>
  <c r="F5" i="8"/>
  <c r="H19" i="13" l="1"/>
  <c r="H20" i="13"/>
  <c r="G20" i="12"/>
  <c r="F12" i="14"/>
  <c r="G12" i="14"/>
  <c r="H19" i="14"/>
  <c r="H20" i="14"/>
  <c r="F20" i="13"/>
  <c r="F19" i="13"/>
  <c r="G19" i="13"/>
  <c r="F19" i="12"/>
  <c r="H19" i="12"/>
  <c r="H20" i="12"/>
  <c r="G10" i="11"/>
  <c r="G9" i="11"/>
  <c r="F12" i="11"/>
  <c r="F16" i="11" s="1"/>
  <c r="H12" i="11"/>
  <c r="H16" i="11" s="1"/>
  <c r="G12" i="11"/>
  <c r="G16" i="11" s="1"/>
  <c r="F10" i="11"/>
  <c r="F9" i="11"/>
  <c r="H10" i="11"/>
  <c r="H9" i="11"/>
  <c r="B12" i="9"/>
  <c r="F12" i="9" s="1"/>
  <c r="F16" i="9" s="1"/>
  <c r="F10" i="9"/>
  <c r="F9" i="9"/>
  <c r="H10" i="9"/>
  <c r="H9" i="9"/>
  <c r="G10" i="9"/>
  <c r="G9" i="9"/>
  <c r="H12" i="8"/>
  <c r="H16" i="8" s="1"/>
  <c r="G12" i="8"/>
  <c r="G16" i="8" s="1"/>
  <c r="F12" i="8"/>
  <c r="F16" i="8" s="1"/>
  <c r="G10" i="8"/>
  <c r="G9" i="8"/>
  <c r="H10" i="8"/>
  <c r="H9" i="8"/>
  <c r="F9" i="8"/>
  <c r="F10" i="8"/>
  <c r="H6" i="3"/>
  <c r="G6" i="3"/>
  <c r="F6" i="3"/>
  <c r="H14" i="3"/>
  <c r="G14" i="3"/>
  <c r="F14" i="3"/>
  <c r="H13" i="3"/>
  <c r="G13" i="3"/>
  <c r="F13" i="3"/>
  <c r="B11" i="3"/>
  <c r="B10" i="3"/>
  <c r="B8" i="3"/>
  <c r="B7" i="3"/>
  <c r="B9" i="3"/>
  <c r="G12" i="9" l="1"/>
  <c r="G16" i="9" s="1"/>
  <c r="G16" i="14"/>
  <c r="G20" i="14" s="1"/>
  <c r="F16" i="14"/>
  <c r="F19" i="14" s="1"/>
  <c r="H12" i="9"/>
  <c r="H16" i="9" s="1"/>
  <c r="H20" i="9" s="1"/>
  <c r="G19" i="14"/>
  <c r="F19" i="11"/>
  <c r="H20" i="11"/>
  <c r="F20" i="11"/>
  <c r="G19" i="11"/>
  <c r="H19" i="11"/>
  <c r="G20" i="11"/>
  <c r="H19" i="9"/>
  <c r="H19" i="8"/>
  <c r="H20" i="8"/>
  <c r="F19" i="8"/>
  <c r="G20" i="8"/>
  <c r="G19" i="9"/>
  <c r="F19" i="9"/>
  <c r="G20" i="9"/>
  <c r="F20" i="9"/>
  <c r="F20" i="8"/>
  <c r="G19" i="8"/>
  <c r="H7" i="3"/>
  <c r="H8" i="3" s="1"/>
  <c r="G7" i="3"/>
  <c r="G8" i="3" s="1"/>
  <c r="F7" i="3"/>
  <c r="F8" i="3" s="1"/>
  <c r="G5" i="3"/>
  <c r="F5" i="3"/>
  <c r="H5" i="3"/>
  <c r="F20" i="14" l="1"/>
  <c r="F10" i="3"/>
  <c r="F9" i="3"/>
  <c r="H9" i="3"/>
  <c r="H10" i="3"/>
  <c r="G9" i="3"/>
  <c r="G10" i="3"/>
  <c r="B12" i="3" l="1"/>
  <c r="G12" i="3" l="1"/>
  <c r="G16" i="3" s="1"/>
  <c r="F12" i="3"/>
  <c r="F16" i="3" s="1"/>
  <c r="H12" i="3"/>
  <c r="H16" i="3" s="1"/>
  <c r="H19" i="3" l="1"/>
  <c r="H20" i="3"/>
  <c r="F19" i="3"/>
  <c r="F20" i="3"/>
  <c r="G19" i="3"/>
  <c r="G20" i="3"/>
</calcChain>
</file>

<file path=xl/sharedStrings.xml><?xml version="1.0" encoding="utf-8"?>
<sst xmlns="http://schemas.openxmlformats.org/spreadsheetml/2006/main" count="391" uniqueCount="59">
  <si>
    <t>Weekly</t>
  </si>
  <si>
    <t>Every Other Week</t>
  </si>
  <si>
    <t>Every Three Weeks</t>
  </si>
  <si>
    <t>Flip Trips Needed</t>
  </si>
  <si>
    <t>Cost of Air Drying for Biofouling Control</t>
  </si>
  <si>
    <t>Depreciated Gear Cost</t>
  </si>
  <si>
    <t>Grow Out Time Needed (weeks)</t>
  </si>
  <si>
    <t>Air Drying Labor and Supplies Assumptions</t>
  </si>
  <si>
    <t>Farm Size and Husbandry Assumptions</t>
  </si>
  <si>
    <t>Stocking density (oysters/bag)</t>
  </si>
  <si>
    <t>Seed Cost, 35mm seed (per 1000)</t>
  </si>
  <si>
    <t>Gear depreciation (years)</t>
  </si>
  <si>
    <t>Number of oysters stocked</t>
  </si>
  <si>
    <t>Number of oysters after mortality</t>
  </si>
  <si>
    <t>Number of market size oysters</t>
  </si>
  <si>
    <t>Mortality when flipped every other week</t>
  </si>
  <si>
    <t>Mortality when flipped every three weeks</t>
  </si>
  <si>
    <t xml:space="preserve">Proportion of oysters not market ready size </t>
  </si>
  <si>
    <t xml:space="preserve">Sale Price (price per oyster)   </t>
  </si>
  <si>
    <t>Minimum</t>
  </si>
  <si>
    <t>Maximum</t>
  </si>
  <si>
    <t>Minimum Gross Profit</t>
  </si>
  <si>
    <t>Maximum Gross Profit</t>
  </si>
  <si>
    <t>Harvest Size (shell height in millimeters)</t>
  </si>
  <si>
    <t>Number of bags per cage</t>
  </si>
  <si>
    <t>Farm Size (number of cages)</t>
  </si>
  <si>
    <t>New cost of cage including bags and rigging (per cage)</t>
  </si>
  <si>
    <t>Flipping Frequency</t>
  </si>
  <si>
    <t>Hours Needed to Flip Up</t>
  </si>
  <si>
    <t>Hours Needed to Flip Back</t>
  </si>
  <si>
    <t>Flip Up Rate (cages/hour)</t>
  </si>
  <si>
    <t>Rate of pay for in-water flipper ($/hour)</t>
  </si>
  <si>
    <t>Rate of pay for flipper asst (keep up in boat) ($/hour)</t>
  </si>
  <si>
    <t>Flip Back Rate (cages/hour)</t>
  </si>
  <si>
    <t xml:space="preserve">Labor Cost for one complete flip trip </t>
  </si>
  <si>
    <t>Seed, Supplies, &amp; Equipment Assumptions</t>
  </si>
  <si>
    <t>Fuel Cost, including oil ($/gallon)</t>
  </si>
  <si>
    <t>Fuel Needed per Complete Flip Trip (gallons)</t>
  </si>
  <si>
    <t>Fuel Cost for one complete flip trip</t>
  </si>
  <si>
    <t>Wetsuit, Boots, Gloves, Slate  (annual cost)</t>
  </si>
  <si>
    <t>Depreciated Supplies Cost</t>
  </si>
  <si>
    <t xml:space="preserve">Mortality when flipped weekly </t>
  </si>
  <si>
    <t xml:space="preserve">Seed Cost </t>
  </si>
  <si>
    <t>Number of Seed Planted</t>
  </si>
  <si>
    <t>Total Expense</t>
  </si>
  <si>
    <t>Net Profit</t>
  </si>
  <si>
    <t>Cost of One Complete Flip Trip</t>
  </si>
  <si>
    <t>THIS SECTION WILL CALCULATE AUTOMATICALLY BASED ON YOUR ASSUMPTIONS</t>
  </si>
  <si>
    <t>Fouling Removal</t>
  </si>
  <si>
    <t>Time to Remove Fouling from One Oyster (seconds)</t>
  </si>
  <si>
    <t>Labor Rate for Cleaning Oysters (hourly)</t>
  </si>
  <si>
    <t>n/a</t>
  </si>
  <si>
    <t>Georgia</t>
  </si>
  <si>
    <t>South Carolina</t>
  </si>
  <si>
    <t>North Carolina</t>
  </si>
  <si>
    <t>Florida</t>
  </si>
  <si>
    <t>Alabama</t>
  </si>
  <si>
    <t>Mississippi</t>
  </si>
  <si>
    <t>Louisiana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</si>
</sst>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"/>
    <numFmt numFmtId="165" formatCode="&quot;$&quot;#,##0"/>
    <numFmt numFmtId="166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9130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/>
    <xf numFmtId="166" fontId="16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21" fillId="0" borderId="0" xfId="0" applyFont="1"/>
    <xf numFmtId="0" fontId="16" fillId="0" borderId="0" xfId="0" applyFont="1" applyBorder="1"/>
    <xf numFmtId="0" fontId="18" fillId="0" borderId="0" xfId="0" applyFont="1" applyBorder="1"/>
    <xf numFmtId="0" fontId="0" fillId="0" borderId="0" xfId="0" applyBorder="1" applyAlignment="1"/>
    <xf numFmtId="165" fontId="21" fillId="0" borderId="0" xfId="0" applyNumberFormat="1" applyFont="1"/>
    <xf numFmtId="166" fontId="21" fillId="0" borderId="0" xfId="0" applyNumberFormat="1" applyFont="1"/>
    <xf numFmtId="4" fontId="21" fillId="0" borderId="0" xfId="0" applyNumberFormat="1" applyFont="1"/>
    <xf numFmtId="0" fontId="21" fillId="0" borderId="0" xfId="0" applyFont="1" applyAlignment="1">
      <alignment horizontal="left"/>
    </xf>
    <xf numFmtId="166" fontId="20" fillId="0" borderId="0" xfId="0" applyNumberFormat="1" applyFont="1" applyAlignment="1">
      <alignment horizontal="left"/>
    </xf>
    <xf numFmtId="0" fontId="21" fillId="0" borderId="11" xfId="0" applyFont="1" applyBorder="1"/>
    <xf numFmtId="6" fontId="21" fillId="0" borderId="12" xfId="0" applyNumberFormat="1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166" fontId="21" fillId="0" borderId="12" xfId="0" applyNumberFormat="1" applyFont="1" applyBorder="1" applyAlignment="1">
      <alignment horizontal="left"/>
    </xf>
    <xf numFmtId="0" fontId="21" fillId="0" borderId="13" xfId="0" applyFont="1" applyBorder="1"/>
    <xf numFmtId="166" fontId="21" fillId="0" borderId="15" xfId="0" applyNumberFormat="1" applyFont="1" applyBorder="1" applyAlignment="1">
      <alignment horizontal="left"/>
    </xf>
    <xf numFmtId="0" fontId="21" fillId="34" borderId="17" xfId="0" applyFont="1" applyFill="1" applyBorder="1" applyAlignment="1">
      <alignment horizontal="left"/>
    </xf>
    <xf numFmtId="0" fontId="23" fillId="34" borderId="16" xfId="0" applyFont="1" applyFill="1" applyBorder="1"/>
    <xf numFmtId="0" fontId="24" fillId="34" borderId="17" xfId="0" applyFont="1" applyFill="1" applyBorder="1" applyAlignment="1">
      <alignment horizontal="left"/>
    </xf>
    <xf numFmtId="38" fontId="21" fillId="0" borderId="12" xfId="0" applyNumberFormat="1" applyFont="1" applyBorder="1" applyAlignment="1">
      <alignment horizontal="left"/>
    </xf>
    <xf numFmtId="0" fontId="17" fillId="34" borderId="17" xfId="0" applyFont="1" applyFill="1" applyBorder="1"/>
    <xf numFmtId="165" fontId="21" fillId="0" borderId="12" xfId="0" applyNumberFormat="1" applyFont="1" applyBorder="1" applyAlignment="1">
      <alignment horizontal="left"/>
    </xf>
    <xf numFmtId="0" fontId="20" fillId="0" borderId="13" xfId="0" applyFont="1" applyBorder="1"/>
    <xf numFmtId="166" fontId="20" fillId="0" borderId="15" xfId="0" applyNumberFormat="1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0" fontId="20" fillId="0" borderId="11" xfId="0" applyFont="1" applyBorder="1"/>
    <xf numFmtId="165" fontId="21" fillId="0" borderId="12" xfId="0" applyNumberFormat="1" applyFont="1" applyBorder="1" applyAlignment="1">
      <alignment horizontal="center"/>
    </xf>
    <xf numFmtId="165" fontId="21" fillId="0" borderId="14" xfId="0" applyNumberFormat="1" applyFont="1" applyBorder="1" applyAlignment="1">
      <alignment horizontal="center"/>
    </xf>
    <xf numFmtId="165" fontId="21" fillId="0" borderId="15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33" borderId="19" xfId="0" applyFont="1" applyFill="1" applyBorder="1"/>
    <xf numFmtId="0" fontId="21" fillId="33" borderId="0" xfId="0" applyFont="1" applyFill="1" applyBorder="1" applyAlignment="1">
      <alignment horizontal="center"/>
    </xf>
    <xf numFmtId="0" fontId="21" fillId="33" borderId="20" xfId="0" applyFont="1" applyFill="1" applyBorder="1" applyAlignment="1">
      <alignment horizontal="center"/>
    </xf>
    <xf numFmtId="165" fontId="21" fillId="33" borderId="0" xfId="0" applyNumberFormat="1" applyFont="1" applyFill="1" applyBorder="1" applyAlignment="1">
      <alignment horizontal="center"/>
    </xf>
    <xf numFmtId="165" fontId="21" fillId="33" borderId="20" xfId="0" applyNumberFormat="1" applyFont="1" applyFill="1" applyBorder="1" applyAlignment="1">
      <alignment horizontal="center"/>
    </xf>
    <xf numFmtId="38" fontId="21" fillId="0" borderId="10" xfId="0" applyNumberFormat="1" applyFont="1" applyBorder="1" applyAlignment="1">
      <alignment horizontal="center"/>
    </xf>
    <xf numFmtId="38" fontId="21" fillId="0" borderId="12" xfId="0" applyNumberFormat="1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2" xfId="0" applyNumberFormat="1" applyFont="1" applyBorder="1" applyAlignment="1">
      <alignment horizontal="center"/>
    </xf>
    <xf numFmtId="0" fontId="25" fillId="34" borderId="23" xfId="0" applyFont="1" applyFill="1" applyBorder="1" applyAlignment="1">
      <alignment horizontal="center"/>
    </xf>
    <xf numFmtId="0" fontId="25" fillId="35" borderId="24" xfId="0" applyFont="1" applyFill="1" applyBorder="1" applyAlignment="1">
      <alignment horizontal="center"/>
    </xf>
    <xf numFmtId="0" fontId="25" fillId="36" borderId="25" xfId="0" applyFont="1" applyFill="1" applyBorder="1" applyAlignment="1">
      <alignment horizontal="center"/>
    </xf>
    <xf numFmtId="0" fontId="23" fillId="36" borderId="16" xfId="0" applyFont="1" applyFill="1" applyBorder="1"/>
    <xf numFmtId="0" fontId="17" fillId="36" borderId="17" xfId="0" applyFont="1" applyFill="1" applyBorder="1"/>
    <xf numFmtId="0" fontId="21" fillId="36" borderId="17" xfId="0" applyFont="1" applyFill="1" applyBorder="1" applyAlignment="1">
      <alignment horizontal="left"/>
    </xf>
    <xf numFmtId="0" fontId="24" fillId="36" borderId="17" xfId="0" applyFont="1" applyFill="1" applyBorder="1" applyAlignment="1">
      <alignment horizontal="left"/>
    </xf>
    <xf numFmtId="0" fontId="23" fillId="35" borderId="16" xfId="0" applyFont="1" applyFill="1" applyBorder="1"/>
    <xf numFmtId="0" fontId="17" fillId="35" borderId="17" xfId="0" applyFont="1" applyFill="1" applyBorder="1"/>
    <xf numFmtId="0" fontId="21" fillId="35" borderId="17" xfId="0" applyFont="1" applyFill="1" applyBorder="1" applyAlignment="1">
      <alignment horizontal="left"/>
    </xf>
    <xf numFmtId="0" fontId="24" fillId="35" borderId="17" xfId="0" applyFont="1" applyFill="1" applyBorder="1" applyAlignment="1">
      <alignment horizontal="left"/>
    </xf>
    <xf numFmtId="0" fontId="23" fillId="37" borderId="16" xfId="0" applyFont="1" applyFill="1" applyBorder="1"/>
    <xf numFmtId="0" fontId="17" fillId="37" borderId="17" xfId="0" applyFont="1" applyFill="1" applyBorder="1"/>
    <xf numFmtId="0" fontId="21" fillId="37" borderId="17" xfId="0" applyFont="1" applyFill="1" applyBorder="1" applyAlignment="1">
      <alignment horizontal="left"/>
    </xf>
    <xf numFmtId="0" fontId="24" fillId="37" borderId="17" xfId="0" applyFont="1" applyFill="1" applyBorder="1" applyAlignment="1">
      <alignment horizontal="left"/>
    </xf>
    <xf numFmtId="0" fontId="23" fillId="38" borderId="16" xfId="0" applyFont="1" applyFill="1" applyBorder="1"/>
    <xf numFmtId="0" fontId="17" fillId="38" borderId="17" xfId="0" applyFont="1" applyFill="1" applyBorder="1"/>
    <xf numFmtId="0" fontId="21" fillId="38" borderId="17" xfId="0" applyFont="1" applyFill="1" applyBorder="1" applyAlignment="1">
      <alignment horizontal="left"/>
    </xf>
    <xf numFmtId="0" fontId="24" fillId="38" borderId="17" xfId="0" applyFont="1" applyFill="1" applyBorder="1" applyAlignment="1">
      <alignment horizontal="left"/>
    </xf>
    <xf numFmtId="0" fontId="23" fillId="39" borderId="16" xfId="0" applyFont="1" applyFill="1" applyBorder="1"/>
    <xf numFmtId="0" fontId="17" fillId="39" borderId="17" xfId="0" applyFont="1" applyFill="1" applyBorder="1"/>
    <xf numFmtId="0" fontId="21" fillId="39" borderId="17" xfId="0" applyFont="1" applyFill="1" applyBorder="1" applyAlignment="1">
      <alignment horizontal="left"/>
    </xf>
    <xf numFmtId="0" fontId="24" fillId="39" borderId="17" xfId="0" applyFont="1" applyFill="1" applyBorder="1" applyAlignment="1">
      <alignment horizontal="left"/>
    </xf>
    <xf numFmtId="0" fontId="23" fillId="40" borderId="16" xfId="0" applyFont="1" applyFill="1" applyBorder="1"/>
    <xf numFmtId="0" fontId="17" fillId="40" borderId="17" xfId="0" applyFont="1" applyFill="1" applyBorder="1"/>
    <xf numFmtId="0" fontId="21" fillId="40" borderId="17" xfId="0" applyFont="1" applyFill="1" applyBorder="1" applyAlignment="1">
      <alignment horizontal="left"/>
    </xf>
    <xf numFmtId="0" fontId="24" fillId="40" borderId="17" xfId="0" applyFont="1" applyFill="1" applyBorder="1" applyAlignment="1">
      <alignment horizontal="left"/>
    </xf>
    <xf numFmtId="0" fontId="21" fillId="0" borderId="0" xfId="0" applyFont="1" applyBorder="1"/>
    <xf numFmtId="0" fontId="21" fillId="0" borderId="0" xfId="0" applyFont="1" applyFill="1" applyBorder="1"/>
    <xf numFmtId="166" fontId="21" fillId="0" borderId="0" xfId="0" applyNumberFormat="1" applyFont="1" applyFill="1" applyBorder="1" applyAlignment="1">
      <alignment horizontal="left"/>
    </xf>
    <xf numFmtId="0" fontId="21" fillId="0" borderId="13" xfId="0" applyFont="1" applyFill="1" applyBorder="1"/>
    <xf numFmtId="166" fontId="21" fillId="0" borderId="15" xfId="0" applyNumberFormat="1" applyFont="1" applyFill="1" applyBorder="1" applyAlignment="1">
      <alignment horizontal="left"/>
    </xf>
    <xf numFmtId="166" fontId="21" fillId="0" borderId="0" xfId="0" applyNumberFormat="1" applyFont="1" applyBorder="1" applyAlignment="1">
      <alignment horizontal="left"/>
    </xf>
    <xf numFmtId="0" fontId="0" fillId="0" borderId="26" xfId="0" applyBorder="1" applyAlignment="1"/>
    <xf numFmtId="0" fontId="0" fillId="0" borderId="27" xfId="0" applyBorder="1" applyAlignment="1"/>
    <xf numFmtId="0" fontId="22" fillId="0" borderId="16" xfId="0" applyFont="1" applyBorder="1" applyAlignment="1">
      <alignment horizontal="center"/>
    </xf>
    <xf numFmtId="0" fontId="0" fillId="0" borderId="18" xfId="0" applyBorder="1" applyAlignment="1"/>
    <xf numFmtId="0" fontId="0" fillId="0" borderId="17" xfId="0" applyBorder="1" applyAlignment="1"/>
    <xf numFmtId="0" fontId="26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9130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1307"/>
    <pageSetUpPr fitToPage="1"/>
  </sheetPr>
  <dimension ref="A1:O66"/>
  <sheetViews>
    <sheetView zoomScale="90" zoomScaleNormal="90" workbookViewId="0">
      <selection activeCell="E26" sqref="E26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1.28515625" customWidth="1"/>
    <col min="7" max="7" width="21.28515625" customWidth="1"/>
    <col min="8" max="8" width="22.710937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1.9" customHeight="1" thickBot="1" x14ac:dyDescent="0.4">
      <c r="A1" s="99" t="s">
        <v>52</v>
      </c>
      <c r="E1" s="96" t="s">
        <v>47</v>
      </c>
      <c r="F1" s="97"/>
      <c r="G1" s="97"/>
      <c r="H1" s="97"/>
    </row>
    <row r="2" spans="1:15" ht="18" x14ac:dyDescent="0.25">
      <c r="A2" s="81" t="s">
        <v>7</v>
      </c>
      <c r="B2" s="82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44</v>
      </c>
      <c r="G4" s="47">
        <v>40</v>
      </c>
      <c r="H4" s="48">
        <v>36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44</v>
      </c>
      <c r="G5" s="40">
        <f>G4/2</f>
        <v>20</v>
      </c>
      <c r="H5" s="42">
        <f>H4/3</f>
        <v>12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392400</v>
      </c>
      <c r="G7" s="56">
        <f>(G6-(G6*B20))</f>
        <v>416250</v>
      </c>
      <c r="H7" s="57">
        <f>(H6-(H6*B21))</f>
        <v>373500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353160</v>
      </c>
      <c r="G8" s="56">
        <f>G7-(G7*B22)</f>
        <v>374625</v>
      </c>
      <c r="H8" s="57">
        <f>H7-(H7*B22)</f>
        <v>336150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300186</v>
      </c>
      <c r="G9" s="41">
        <f>G8*B42</f>
        <v>318431.25</v>
      </c>
      <c r="H9" s="44">
        <f>H8*B42</f>
        <v>285727.5</v>
      </c>
    </row>
    <row r="10" spans="1:15" x14ac:dyDescent="0.25">
      <c r="A10" s="26" t="s">
        <v>38</v>
      </c>
      <c r="B10" s="37">
        <f xml:space="preserve"> B36*B35</f>
        <v>28.799999999999997</v>
      </c>
      <c r="C10" s="17"/>
      <c r="D10" s="17"/>
      <c r="E10" s="43" t="s">
        <v>22</v>
      </c>
      <c r="F10" s="41">
        <f>F8*B43</f>
        <v>335502</v>
      </c>
      <c r="G10" s="41">
        <f>G8*B43</f>
        <v>355893.75</v>
      </c>
      <c r="H10" s="44">
        <f>H8*B43</f>
        <v>319342.5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196.56923076923078</v>
      </c>
      <c r="C12" s="17"/>
      <c r="D12" s="17"/>
      <c r="E12" s="26" t="s">
        <v>4</v>
      </c>
      <c r="F12" s="41">
        <f>B12*F5</f>
        <v>8649.046153846155</v>
      </c>
      <c r="G12" s="41">
        <f>B12*G5</f>
        <v>3931.3846153846157</v>
      </c>
      <c r="H12" s="44">
        <f>B12*H5</f>
        <v>2358.8307692307694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>
        <f>(((F8*5)/60)/60)*B26</f>
        <v>3924</v>
      </c>
      <c r="G15" s="41">
        <f>(((G8*B25)/60)/60)*B26</f>
        <v>4162.5</v>
      </c>
      <c r="H15" s="44">
        <f>(((H8*B25)/60)/60)*B26</f>
        <v>3735</v>
      </c>
      <c r="K15" s="9"/>
      <c r="L15" s="6"/>
      <c r="M15" s="7"/>
      <c r="N15" s="7"/>
      <c r="O15" s="7"/>
    </row>
    <row r="16" spans="1:15" ht="18" x14ac:dyDescent="0.25">
      <c r="A16" s="81" t="s">
        <v>8</v>
      </c>
      <c r="B16" s="83"/>
      <c r="C16" s="17"/>
      <c r="D16" s="17"/>
      <c r="E16" s="43" t="s">
        <v>44</v>
      </c>
      <c r="F16" s="41">
        <f>SUM(F12:F15)</f>
        <v>51787.331868131863</v>
      </c>
      <c r="G16" s="41">
        <f>SUM(G12:G15)</f>
        <v>47308.170329670334</v>
      </c>
      <c r="H16" s="44">
        <f>SUM(H12:H15)</f>
        <v>45308.116483516482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0.128</v>
      </c>
      <c r="C19" s="17"/>
      <c r="D19" s="17"/>
      <c r="E19" s="26" t="s">
        <v>19</v>
      </c>
      <c r="F19" s="41">
        <f>F9-F16</f>
        <v>248398.66813186812</v>
      </c>
      <c r="G19" s="41">
        <f>G9-G16</f>
        <v>271123.07967032969</v>
      </c>
      <c r="H19" s="44">
        <f>H9-H16</f>
        <v>240419.38351648353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7.4999999999999997E-2</v>
      </c>
      <c r="C20" s="17"/>
      <c r="D20" s="17"/>
      <c r="E20" s="30" t="s">
        <v>20</v>
      </c>
      <c r="F20" s="45">
        <f>F10-F16</f>
        <v>283714.66813186812</v>
      </c>
      <c r="G20" s="45">
        <f>G10-G16</f>
        <v>308585.57967032969</v>
      </c>
      <c r="H20" s="46">
        <f>H10-H16</f>
        <v>274034.38351648353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0.17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81" t="s">
        <v>35</v>
      </c>
      <c r="B30" s="84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12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81" t="s">
        <v>18</v>
      </c>
      <c r="B41" s="83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2:E3"/>
    <mergeCell ref="F2:H2"/>
    <mergeCell ref="E1:H1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6"/>
  <sheetViews>
    <sheetView zoomScale="90" zoomScaleNormal="90" workbookViewId="0">
      <selection activeCell="E26" sqref="E26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0.5703125" customWidth="1"/>
    <col min="7" max="7" width="20.7109375" customWidth="1"/>
    <col min="8" max="8" width="21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2.450000000000003" customHeight="1" thickBot="1" x14ac:dyDescent="0.4">
      <c r="A1" s="99" t="s">
        <v>53</v>
      </c>
      <c r="E1" s="96" t="s">
        <v>47</v>
      </c>
      <c r="F1" s="98"/>
      <c r="G1" s="98"/>
      <c r="H1" s="98"/>
    </row>
    <row r="2" spans="1:15" ht="18" x14ac:dyDescent="0.25">
      <c r="A2" s="33" t="s">
        <v>7</v>
      </c>
      <c r="B2" s="36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36</v>
      </c>
      <c r="G4" s="47">
        <v>32</v>
      </c>
      <c r="H4" s="48">
        <v>28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36</v>
      </c>
      <c r="G5" s="40">
        <f>G4/2</f>
        <v>16</v>
      </c>
      <c r="H5" s="42">
        <f>H4/3</f>
        <v>9.3333333333333339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443250</v>
      </c>
      <c r="G7" s="56">
        <f>(G6-(G6*B20))</f>
        <v>441945</v>
      </c>
      <c r="H7" s="57">
        <f>(H6-(H6*B21))</f>
        <v>442305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398925</v>
      </c>
      <c r="G8" s="56">
        <f>G7-(G7*B22)</f>
        <v>397750.5</v>
      </c>
      <c r="H8" s="57">
        <f>H7-(H7*B22)</f>
        <v>398074.5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339086.25</v>
      </c>
      <c r="G9" s="41">
        <f>G8*B42</f>
        <v>338087.92499999999</v>
      </c>
      <c r="H9" s="44">
        <f>H8*B42</f>
        <v>338363.32500000001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378978.75</v>
      </c>
      <c r="G10" s="41">
        <f>G8*B43</f>
        <v>377862.97499999998</v>
      </c>
      <c r="H10" s="44">
        <f>H8*B43</f>
        <v>378170.77499999997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6558.0923076923082</v>
      </c>
      <c r="G12" s="41">
        <f>B12*G5</f>
        <v>2914.7076923076925</v>
      </c>
      <c r="H12" s="44">
        <f>B12*H5</f>
        <v>1700.2461538461541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 t="s">
        <v>51</v>
      </c>
      <c r="G15" s="41" t="s">
        <v>51</v>
      </c>
      <c r="H15" s="44" t="s">
        <v>51</v>
      </c>
      <c r="K15" s="9"/>
      <c r="L15" s="6"/>
      <c r="M15" s="7"/>
      <c r="N15" s="7"/>
      <c r="O15" s="7"/>
    </row>
    <row r="16" spans="1:15" ht="18" x14ac:dyDescent="0.25">
      <c r="A16" s="33" t="s">
        <v>8</v>
      </c>
      <c r="B16" s="32"/>
      <c r="C16" s="17"/>
      <c r="D16" s="17"/>
      <c r="E16" s="43" t="s">
        <v>44</v>
      </c>
      <c r="F16" s="41">
        <f>SUM(F12:F14)</f>
        <v>45772.378021978016</v>
      </c>
      <c r="G16" s="41">
        <f t="shared" ref="G16:H16" si="0">SUM(G12:G14)</f>
        <v>42128.993406593407</v>
      </c>
      <c r="H16" s="44">
        <f t="shared" si="0"/>
        <v>40914.531868131868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1.4999999999999999E-2</v>
      </c>
      <c r="C19" s="17"/>
      <c r="D19" s="17"/>
      <c r="E19" s="26" t="s">
        <v>19</v>
      </c>
      <c r="F19" s="41">
        <f>F9-F16</f>
        <v>293313.87197802198</v>
      </c>
      <c r="G19" s="41">
        <f>G9-G16</f>
        <v>295958.9315934066</v>
      </c>
      <c r="H19" s="44">
        <f>H9-H16</f>
        <v>297448.79313186812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1.7899999999999999E-2</v>
      </c>
      <c r="C20" s="17"/>
      <c r="D20" s="17"/>
      <c r="E20" s="30" t="s">
        <v>20</v>
      </c>
      <c r="F20" s="45">
        <f>F10-F16</f>
        <v>333206.37197802198</v>
      </c>
      <c r="G20" s="45">
        <f>G10-G16</f>
        <v>335733.98159340658</v>
      </c>
      <c r="H20" s="46">
        <f>H10-H16</f>
        <v>337256.24313186808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1.7100000000000001E-2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33" t="s">
        <v>35</v>
      </c>
      <c r="B30" s="34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33" t="s">
        <v>18</v>
      </c>
      <c r="B41" s="32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F2:H2"/>
    <mergeCell ref="E2:E3"/>
    <mergeCell ref="E1:H1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O66"/>
  <sheetViews>
    <sheetView zoomScale="80" zoomScaleNormal="80" workbookViewId="0">
      <selection activeCell="E30" sqref="E30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1.28515625" customWidth="1"/>
    <col min="7" max="7" width="20.28515625" customWidth="1"/>
    <col min="8" max="8" width="20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0" customHeight="1" thickBot="1" x14ac:dyDescent="0.4">
      <c r="A1" s="99" t="s">
        <v>54</v>
      </c>
      <c r="E1" s="96" t="s">
        <v>47</v>
      </c>
      <c r="F1" s="98"/>
      <c r="G1" s="98"/>
      <c r="H1" s="98"/>
    </row>
    <row r="2" spans="1:15" ht="18" x14ac:dyDescent="0.25">
      <c r="A2" s="61" t="s">
        <v>7</v>
      </c>
      <c r="B2" s="62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38</v>
      </c>
      <c r="G4" s="47">
        <v>34</v>
      </c>
      <c r="H4" s="48">
        <v>30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38</v>
      </c>
      <c r="G5" s="40">
        <f>G4/2</f>
        <v>17</v>
      </c>
      <c r="H5" s="42">
        <f>H4/3</f>
        <v>10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449640</v>
      </c>
      <c r="G7" s="56">
        <f>(G6-(G6*B20))</f>
        <v>449640</v>
      </c>
      <c r="H7" s="57">
        <f>(H6-(H6*B21))</f>
        <v>449820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404676</v>
      </c>
      <c r="G8" s="56">
        <f>G7-(G7*B22)</f>
        <v>404676</v>
      </c>
      <c r="H8" s="57">
        <f>H7-(H7*B22)</f>
        <v>404838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343974.6</v>
      </c>
      <c r="G9" s="41">
        <f>G8*B42</f>
        <v>343974.6</v>
      </c>
      <c r="H9" s="44">
        <f>H8*B42</f>
        <v>344112.3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384442.19999999995</v>
      </c>
      <c r="G10" s="41">
        <f>G8*B43</f>
        <v>384442.19999999995</v>
      </c>
      <c r="H10" s="44">
        <f>H8*B43</f>
        <v>384596.1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6922.4307692307693</v>
      </c>
      <c r="G12" s="41">
        <f>B12*G5</f>
        <v>3096.876923076923</v>
      </c>
      <c r="H12" s="44">
        <f>B12*H5</f>
        <v>1821.6923076923078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 t="s">
        <v>51</v>
      </c>
      <c r="G15" s="41" t="s">
        <v>51</v>
      </c>
      <c r="H15" s="44" t="s">
        <v>51</v>
      </c>
      <c r="K15" s="9"/>
      <c r="L15" s="6"/>
      <c r="M15" s="7"/>
      <c r="N15" s="7"/>
      <c r="O15" s="7"/>
    </row>
    <row r="16" spans="1:15" ht="18" x14ac:dyDescent="0.25">
      <c r="A16" s="61" t="s">
        <v>8</v>
      </c>
      <c r="B16" s="63"/>
      <c r="C16" s="17"/>
      <c r="D16" s="17"/>
      <c r="E16" s="43" t="s">
        <v>44</v>
      </c>
      <c r="F16" s="41">
        <f>SUM(F12:F14)</f>
        <v>46136.716483516488</v>
      </c>
      <c r="G16" s="41">
        <f t="shared" ref="G16:H16" si="0">SUM(G12:G14)</f>
        <v>42311.162637362635</v>
      </c>
      <c r="H16" s="44">
        <f t="shared" si="0"/>
        <v>41035.978021978022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8.0000000000000004E-4</v>
      </c>
      <c r="C19" s="17"/>
      <c r="D19" s="17"/>
      <c r="E19" s="26" t="s">
        <v>19</v>
      </c>
      <c r="F19" s="41">
        <f>F9-F16</f>
        <v>297837.88351648347</v>
      </c>
      <c r="G19" s="41">
        <f>G9-G16</f>
        <v>301663.43736263737</v>
      </c>
      <c r="H19" s="44">
        <f>H9-H16</f>
        <v>303076.321978022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8.0000000000000004E-4</v>
      </c>
      <c r="C20" s="17"/>
      <c r="D20" s="17"/>
      <c r="E20" s="30" t="s">
        <v>20</v>
      </c>
      <c r="F20" s="45">
        <f>F10-F16</f>
        <v>338305.48351648345</v>
      </c>
      <c r="G20" s="45">
        <f>G10-G16</f>
        <v>342131.03736263735</v>
      </c>
      <c r="H20" s="46">
        <f>H10-H16</f>
        <v>343560.12197802193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4.0000000000000002E-4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61" t="s">
        <v>35</v>
      </c>
      <c r="B30" s="64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61" t="s">
        <v>18</v>
      </c>
      <c r="B41" s="63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2:E3"/>
    <mergeCell ref="F2:H2"/>
    <mergeCell ref="E1:H1"/>
  </mergeCells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O66"/>
  <sheetViews>
    <sheetView zoomScale="90" zoomScaleNormal="90" workbookViewId="0">
      <selection activeCell="E27" sqref="E27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2" customWidth="1"/>
    <col min="7" max="7" width="20.7109375" customWidth="1"/>
    <col min="8" max="8" width="21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2.450000000000003" customHeight="1" thickBot="1" x14ac:dyDescent="0.4">
      <c r="A1" s="99" t="s">
        <v>55</v>
      </c>
      <c r="E1" s="96" t="s">
        <v>47</v>
      </c>
      <c r="F1" s="98"/>
      <c r="G1" s="98"/>
      <c r="H1" s="98"/>
    </row>
    <row r="2" spans="1:15" ht="18" x14ac:dyDescent="0.25">
      <c r="A2" s="65" t="s">
        <v>7</v>
      </c>
      <c r="B2" s="66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30</v>
      </c>
      <c r="G4" s="47">
        <v>24</v>
      </c>
      <c r="H4" s="48">
        <v>24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30</v>
      </c>
      <c r="G5" s="40">
        <f>G4/2</f>
        <v>12</v>
      </c>
      <c r="H5" s="42">
        <f>H4/3</f>
        <v>8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400500</v>
      </c>
      <c r="G7" s="56">
        <f>(G6-(G6*B20))</f>
        <v>391500</v>
      </c>
      <c r="H7" s="57">
        <f>(H6-(H6*B21))</f>
        <v>405000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360450</v>
      </c>
      <c r="G8" s="56">
        <f>G7-(G7*B22)</f>
        <v>352350</v>
      </c>
      <c r="H8" s="57">
        <f>H7-(H7*B22)</f>
        <v>364500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306382.5</v>
      </c>
      <c r="G9" s="41">
        <f>G8*B42</f>
        <v>299497.5</v>
      </c>
      <c r="H9" s="44">
        <f>H8*B42</f>
        <v>309825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342427.5</v>
      </c>
      <c r="G10" s="41">
        <f>G8*B43</f>
        <v>334732.5</v>
      </c>
      <c r="H10" s="44">
        <f>H8*B43</f>
        <v>346275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5465.0769230769238</v>
      </c>
      <c r="G12" s="41">
        <f>B12*G5</f>
        <v>2186.0307692307692</v>
      </c>
      <c r="H12" s="44">
        <f>B12*H5</f>
        <v>1457.3538461538462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>
        <f>(((F8*B25)/60)/60)*B26</f>
        <v>4005</v>
      </c>
      <c r="G15" s="41">
        <f>(((G8*(B25*2))/60)/60)*B26</f>
        <v>7830</v>
      </c>
      <c r="H15" s="44">
        <f>(((H8*(B25*2))/60)/60)*B26</f>
        <v>8100</v>
      </c>
      <c r="K15" s="9"/>
      <c r="L15" s="6"/>
      <c r="M15" s="7"/>
      <c r="N15" s="7"/>
      <c r="O15" s="7"/>
    </row>
    <row r="16" spans="1:15" ht="18" x14ac:dyDescent="0.25">
      <c r="A16" s="65" t="s">
        <v>8</v>
      </c>
      <c r="B16" s="67"/>
      <c r="C16" s="17"/>
      <c r="D16" s="17"/>
      <c r="E16" s="43" t="s">
        <v>44</v>
      </c>
      <c r="F16" s="41">
        <f>SUM(F12:F15)</f>
        <v>48684.362637362632</v>
      </c>
      <c r="G16" s="41">
        <f>SUM(G12:G14)</f>
        <v>41400.316483516479</v>
      </c>
      <c r="H16" s="44">
        <f>SUM(H12:H14)</f>
        <v>40671.639560439558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0.11</v>
      </c>
      <c r="C19" s="17"/>
      <c r="D19" s="17"/>
      <c r="E19" s="26" t="s">
        <v>19</v>
      </c>
      <c r="F19" s="41">
        <f>F9-F16</f>
        <v>257698.13736263738</v>
      </c>
      <c r="G19" s="41">
        <f>G9-G16</f>
        <v>258097.18351648352</v>
      </c>
      <c r="H19" s="44">
        <f>H9-H16</f>
        <v>269153.36043956043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0.13</v>
      </c>
      <c r="C20" s="17"/>
      <c r="D20" s="17"/>
      <c r="E20" s="30" t="s">
        <v>20</v>
      </c>
      <c r="F20" s="45">
        <f>F10-F16</f>
        <v>293743.13736263738</v>
      </c>
      <c r="G20" s="45">
        <f>G10-G16</f>
        <v>293332.18351648352</v>
      </c>
      <c r="H20" s="46">
        <f>H10-H16</f>
        <v>305603.36043956043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0.1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65" t="s">
        <v>35</v>
      </c>
      <c r="B30" s="68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65" t="s">
        <v>18</v>
      </c>
      <c r="B41" s="67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1:H1"/>
    <mergeCell ref="E2:E3"/>
    <mergeCell ref="F2:H2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  <pageSetUpPr fitToPage="1"/>
  </sheetPr>
  <dimension ref="A1:O66"/>
  <sheetViews>
    <sheetView zoomScale="80" zoomScaleNormal="80" workbookViewId="0">
      <selection activeCell="E28" sqref="E28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0.5703125" customWidth="1"/>
    <col min="7" max="7" width="20.7109375" customWidth="1"/>
    <col min="8" max="8" width="21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2.450000000000003" customHeight="1" thickBot="1" x14ac:dyDescent="0.4">
      <c r="A1" s="99" t="s">
        <v>56</v>
      </c>
      <c r="E1" s="96" t="s">
        <v>47</v>
      </c>
      <c r="F1" s="98"/>
      <c r="G1" s="98"/>
      <c r="H1" s="98"/>
    </row>
    <row r="2" spans="1:15" ht="18" x14ac:dyDescent="0.25">
      <c r="A2" s="73" t="s">
        <v>7</v>
      </c>
      <c r="B2" s="74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38</v>
      </c>
      <c r="G4" s="47">
        <v>32</v>
      </c>
      <c r="H4" s="48">
        <v>32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38</v>
      </c>
      <c r="G5" s="40">
        <f>G4/2</f>
        <v>16</v>
      </c>
      <c r="H5" s="42">
        <f>H4/3</f>
        <v>10.666666666666666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324000</v>
      </c>
      <c r="G7" s="56">
        <f>(G6-(G6*B20))</f>
        <v>274500</v>
      </c>
      <c r="H7" s="57">
        <f>(H6-(H6*B21))</f>
        <v>355500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291600</v>
      </c>
      <c r="G8" s="56">
        <f>G7-(G7*B22)</f>
        <v>247050</v>
      </c>
      <c r="H8" s="57">
        <f>H7-(H7*B22)</f>
        <v>319950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247860</v>
      </c>
      <c r="G9" s="41">
        <f>G8*B42</f>
        <v>209992.5</v>
      </c>
      <c r="H9" s="44">
        <f>H8*B42</f>
        <v>271957.5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277020</v>
      </c>
      <c r="G10" s="41">
        <f>G8*B43</f>
        <v>234697.5</v>
      </c>
      <c r="H10" s="44">
        <f>H8*B43</f>
        <v>303952.5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6922.4307692307693</v>
      </c>
      <c r="G12" s="41">
        <f>B12*G5</f>
        <v>2914.7076923076925</v>
      </c>
      <c r="H12" s="44">
        <f>B12*H5</f>
        <v>1943.1384615384616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 t="s">
        <v>51</v>
      </c>
      <c r="G15" s="41" t="s">
        <v>51</v>
      </c>
      <c r="H15" s="44">
        <f>(((H8*B25)/60)/60)*B26</f>
        <v>3555</v>
      </c>
      <c r="K15" s="9"/>
      <c r="L15" s="6"/>
      <c r="M15" s="7"/>
      <c r="N15" s="7"/>
      <c r="O15" s="7"/>
    </row>
    <row r="16" spans="1:15" ht="18" x14ac:dyDescent="0.25">
      <c r="A16" s="73" t="s">
        <v>8</v>
      </c>
      <c r="B16" s="75"/>
      <c r="C16" s="17"/>
      <c r="D16" s="17"/>
      <c r="E16" s="43" t="s">
        <v>44</v>
      </c>
      <c r="F16" s="41">
        <f>SUM(F12:F14)</f>
        <v>46136.716483516488</v>
      </c>
      <c r="G16" s="41">
        <f t="shared" ref="G16" si="0">SUM(G12:G14)</f>
        <v>42128.993406593407</v>
      </c>
      <c r="H16" s="44">
        <f>SUM(H12:H15)</f>
        <v>44712.424175824177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0.28000000000000003</v>
      </c>
      <c r="C19" s="17"/>
      <c r="D19" s="17"/>
      <c r="E19" s="26" t="s">
        <v>19</v>
      </c>
      <c r="F19" s="41">
        <f>F9-F16</f>
        <v>201723.2835164835</v>
      </c>
      <c r="G19" s="41">
        <f>G9-G16</f>
        <v>167863.50659340661</v>
      </c>
      <c r="H19" s="44">
        <f>H9-H16</f>
        <v>227245.07582417582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0.39</v>
      </c>
      <c r="C20" s="17"/>
      <c r="D20" s="17"/>
      <c r="E20" s="30" t="s">
        <v>20</v>
      </c>
      <c r="F20" s="45">
        <f>F10-F16</f>
        <v>230883.2835164835</v>
      </c>
      <c r="G20" s="45">
        <f>G10-G16</f>
        <v>192568.50659340661</v>
      </c>
      <c r="H20" s="46">
        <f>H10-H16</f>
        <v>259240.07582417582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0.21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73" t="s">
        <v>35</v>
      </c>
      <c r="B30" s="76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73" t="s">
        <v>18</v>
      </c>
      <c r="B41" s="75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1:H1"/>
    <mergeCell ref="E2:E3"/>
    <mergeCell ref="F2:H2"/>
  </mergeCells>
  <pageMargins left="0.7" right="0.7" top="0.75" bottom="0.75" header="0.3" footer="0.3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66"/>
  <sheetViews>
    <sheetView zoomScale="80" zoomScaleNormal="80" workbookViewId="0">
      <selection activeCell="E31" sqref="E31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0.5703125" customWidth="1"/>
    <col min="7" max="7" width="20.7109375" customWidth="1"/>
    <col min="8" max="8" width="21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2.450000000000003" customHeight="1" thickBot="1" x14ac:dyDescent="0.4">
      <c r="A1" s="99" t="s">
        <v>57</v>
      </c>
      <c r="E1" s="96" t="s">
        <v>47</v>
      </c>
      <c r="F1" s="98"/>
      <c r="G1" s="98"/>
      <c r="H1" s="98"/>
    </row>
    <row r="2" spans="1:15" ht="18" x14ac:dyDescent="0.25">
      <c r="A2" s="69" t="s">
        <v>7</v>
      </c>
      <c r="B2" s="70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38</v>
      </c>
      <c r="G4" s="47">
        <v>32</v>
      </c>
      <c r="H4" s="48">
        <v>32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38</v>
      </c>
      <c r="G5" s="40">
        <f>G4/2</f>
        <v>16</v>
      </c>
      <c r="H5" s="42">
        <f>H4/3</f>
        <v>10.666666666666666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396000</v>
      </c>
      <c r="G7" s="56">
        <f>(G6-(G6*B20))</f>
        <v>400500</v>
      </c>
      <c r="H7" s="57">
        <f>(H6-(H6*B21))</f>
        <v>432000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356400</v>
      </c>
      <c r="G8" s="56">
        <f>G7-(G7*B22)</f>
        <v>360450</v>
      </c>
      <c r="H8" s="57">
        <f>H7-(H7*B22)</f>
        <v>388800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302940</v>
      </c>
      <c r="G9" s="41">
        <f>G8*B42</f>
        <v>306382.5</v>
      </c>
      <c r="H9" s="44">
        <f>H8*B42</f>
        <v>330480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338580</v>
      </c>
      <c r="G10" s="41">
        <f>G8*B43</f>
        <v>342427.5</v>
      </c>
      <c r="H10" s="44">
        <f>H8*B43</f>
        <v>369360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6922.4307692307693</v>
      </c>
      <c r="G12" s="41">
        <f>B12*G5</f>
        <v>2914.7076923076925</v>
      </c>
      <c r="H12" s="44">
        <f>B12*H5</f>
        <v>1943.1384615384616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 t="s">
        <v>51</v>
      </c>
      <c r="G15" s="41" t="s">
        <v>51</v>
      </c>
      <c r="H15" s="44" t="s">
        <v>51</v>
      </c>
      <c r="K15" s="9"/>
      <c r="L15" s="6"/>
      <c r="M15" s="7"/>
      <c r="N15" s="7"/>
      <c r="O15" s="7"/>
    </row>
    <row r="16" spans="1:15" ht="18" x14ac:dyDescent="0.25">
      <c r="A16" s="69" t="s">
        <v>8</v>
      </c>
      <c r="B16" s="71"/>
      <c r="C16" s="17"/>
      <c r="D16" s="17"/>
      <c r="E16" s="43" t="s">
        <v>44</v>
      </c>
      <c r="F16" s="41">
        <f>SUM(F12:F14)</f>
        <v>46136.716483516488</v>
      </c>
      <c r="G16" s="41">
        <f t="shared" ref="G16:H16" si="0">SUM(G12:G14)</f>
        <v>42128.993406593407</v>
      </c>
      <c r="H16" s="44">
        <f t="shared" si="0"/>
        <v>41157.424175824177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0.12</v>
      </c>
      <c r="C19" s="17"/>
      <c r="D19" s="17"/>
      <c r="E19" s="26" t="s">
        <v>19</v>
      </c>
      <c r="F19" s="41">
        <f>F9-F16</f>
        <v>256803.2835164835</v>
      </c>
      <c r="G19" s="41">
        <f>G9-G16</f>
        <v>264253.50659340661</v>
      </c>
      <c r="H19" s="44">
        <f>H9-H16</f>
        <v>289322.57582417584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0.11</v>
      </c>
      <c r="C20" s="17"/>
      <c r="D20" s="17"/>
      <c r="E20" s="30" t="s">
        <v>20</v>
      </c>
      <c r="F20" s="45">
        <f>F10-F16</f>
        <v>292443.2835164835</v>
      </c>
      <c r="G20" s="45">
        <f>G10-G16</f>
        <v>300298.50659340661</v>
      </c>
      <c r="H20" s="46">
        <f>H10-H16</f>
        <v>328202.57582417584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0.04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69" t="s">
        <v>35</v>
      </c>
      <c r="B30" s="72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69" t="s">
        <v>18</v>
      </c>
      <c r="B41" s="71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1:H1"/>
    <mergeCell ref="E2:E3"/>
    <mergeCell ref="F2:H2"/>
  </mergeCells>
  <pageMargins left="0.7" right="0.7" top="0.75" bottom="0.75" header="0.3" footer="0.3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66"/>
  <sheetViews>
    <sheetView tabSelected="1" zoomScale="80" zoomScaleNormal="80" workbookViewId="0">
      <selection activeCell="E28" sqref="E28"/>
    </sheetView>
  </sheetViews>
  <sheetFormatPr defaultRowHeight="15" x14ac:dyDescent="0.25"/>
  <cols>
    <col min="1" max="1" width="56.42578125" customWidth="1"/>
    <col min="2" max="2" width="10.85546875" customWidth="1"/>
    <col min="3" max="3" width="6.42578125" customWidth="1"/>
    <col min="4" max="4" width="6.28515625" customWidth="1"/>
    <col min="5" max="5" width="38.140625" customWidth="1"/>
    <col min="6" max="6" width="10.5703125" customWidth="1"/>
    <col min="7" max="7" width="20.7109375" customWidth="1"/>
    <col min="8" max="8" width="21.42578125" customWidth="1"/>
    <col min="12" max="12" width="12.5703125" customWidth="1"/>
    <col min="13" max="13" width="11" customWidth="1"/>
    <col min="14" max="14" width="9.7109375" customWidth="1"/>
    <col min="15" max="15" width="9.85546875" customWidth="1"/>
  </cols>
  <sheetData>
    <row r="1" spans="1:15" ht="32.450000000000003" customHeight="1" thickBot="1" x14ac:dyDescent="0.4">
      <c r="A1" s="99" t="s">
        <v>58</v>
      </c>
      <c r="E1" s="96" t="s">
        <v>47</v>
      </c>
      <c r="F1" s="98"/>
      <c r="G1" s="98"/>
      <c r="H1" s="98"/>
    </row>
    <row r="2" spans="1:15" ht="18" x14ac:dyDescent="0.25">
      <c r="A2" s="77" t="s">
        <v>7</v>
      </c>
      <c r="B2" s="78"/>
      <c r="E2" s="91"/>
      <c r="F2" s="93" t="s">
        <v>27</v>
      </c>
      <c r="G2" s="94"/>
      <c r="H2" s="95"/>
    </row>
    <row r="3" spans="1:15" ht="15.75" thickBot="1" x14ac:dyDescent="0.3">
      <c r="A3" s="26" t="s">
        <v>30</v>
      </c>
      <c r="B3" s="28">
        <v>125</v>
      </c>
      <c r="C3" s="17"/>
      <c r="D3" s="17"/>
      <c r="E3" s="92"/>
      <c r="F3" s="58" t="s">
        <v>0</v>
      </c>
      <c r="G3" s="59" t="s">
        <v>1</v>
      </c>
      <c r="H3" s="60" t="s">
        <v>2</v>
      </c>
    </row>
    <row r="4" spans="1:15" x14ac:dyDescent="0.25">
      <c r="A4" s="26" t="s">
        <v>31</v>
      </c>
      <c r="B4" s="37">
        <v>15</v>
      </c>
      <c r="C4" s="17"/>
      <c r="D4" s="17"/>
      <c r="E4" s="26" t="s">
        <v>6</v>
      </c>
      <c r="F4" s="47">
        <v>30</v>
      </c>
      <c r="G4" s="47">
        <v>24</v>
      </c>
      <c r="H4" s="48">
        <v>24</v>
      </c>
      <c r="K4" s="8"/>
      <c r="L4" s="8"/>
      <c r="M4" s="8"/>
      <c r="N4" s="8"/>
      <c r="O4" s="8"/>
    </row>
    <row r="5" spans="1:15" x14ac:dyDescent="0.25">
      <c r="A5" s="26" t="s">
        <v>32</v>
      </c>
      <c r="B5" s="37">
        <v>12</v>
      </c>
      <c r="C5" s="17"/>
      <c r="D5" s="17"/>
      <c r="E5" s="26" t="s">
        <v>3</v>
      </c>
      <c r="F5" s="40">
        <f>F4/1</f>
        <v>30</v>
      </c>
      <c r="G5" s="40">
        <f>G4/2</f>
        <v>12</v>
      </c>
      <c r="H5" s="42">
        <f>H4/3</f>
        <v>8</v>
      </c>
      <c r="K5" s="9"/>
      <c r="L5" s="6"/>
      <c r="M5" s="7"/>
      <c r="N5" s="7"/>
      <c r="O5" s="7"/>
    </row>
    <row r="6" spans="1:15" x14ac:dyDescent="0.25">
      <c r="A6" s="26" t="s">
        <v>33</v>
      </c>
      <c r="B6" s="28">
        <v>250</v>
      </c>
      <c r="C6" s="17"/>
      <c r="D6" s="17"/>
      <c r="E6" s="26" t="s">
        <v>12</v>
      </c>
      <c r="F6" s="54">
        <f>B32</f>
        <v>450000</v>
      </c>
      <c r="G6" s="54">
        <f>B32</f>
        <v>450000</v>
      </c>
      <c r="H6" s="55">
        <f>B32</f>
        <v>450000</v>
      </c>
      <c r="K6" s="9"/>
      <c r="L6" s="6"/>
      <c r="M6" s="7"/>
      <c r="N6" s="7"/>
      <c r="O6" s="7"/>
    </row>
    <row r="7" spans="1:15" x14ac:dyDescent="0.25">
      <c r="A7" s="26" t="s">
        <v>28</v>
      </c>
      <c r="B7" s="28">
        <f>B17/B3</f>
        <v>4</v>
      </c>
      <c r="C7" s="17"/>
      <c r="D7" s="17"/>
      <c r="E7" s="26" t="s">
        <v>13</v>
      </c>
      <c r="F7" s="56">
        <f>(F6-(F6*B19))</f>
        <v>427500</v>
      </c>
      <c r="G7" s="56">
        <f>(G6-(G6*B20))</f>
        <v>432000</v>
      </c>
      <c r="H7" s="57">
        <f>(H6-(H6*B21))</f>
        <v>432000</v>
      </c>
      <c r="K7" s="9"/>
      <c r="L7" s="6"/>
      <c r="M7" s="7"/>
      <c r="N7" s="7"/>
      <c r="O7" s="7"/>
    </row>
    <row r="8" spans="1:15" x14ac:dyDescent="0.25">
      <c r="A8" s="26" t="s">
        <v>29</v>
      </c>
      <c r="B8" s="28">
        <f>B17/B6</f>
        <v>2</v>
      </c>
      <c r="C8" s="17"/>
      <c r="D8" s="17"/>
      <c r="E8" s="26" t="s">
        <v>14</v>
      </c>
      <c r="F8" s="56">
        <f>F7-(F7*B22)</f>
        <v>384750</v>
      </c>
      <c r="G8" s="56">
        <f>G7-(G7*B22)</f>
        <v>388800</v>
      </c>
      <c r="H8" s="57">
        <f>H7-(H7*B22)</f>
        <v>388800</v>
      </c>
    </row>
    <row r="9" spans="1:15" x14ac:dyDescent="0.25">
      <c r="A9" s="26" t="s">
        <v>34</v>
      </c>
      <c r="B9" s="37">
        <f>((B7+B8)*B4)+((B7+B8)*B5)</f>
        <v>162</v>
      </c>
      <c r="C9" s="17"/>
      <c r="D9" s="17"/>
      <c r="E9" s="43" t="s">
        <v>21</v>
      </c>
      <c r="F9" s="41">
        <f>F8*B42</f>
        <v>327037.5</v>
      </c>
      <c r="G9" s="41">
        <f>G8*B42</f>
        <v>330480</v>
      </c>
      <c r="H9" s="44">
        <f>H8*B42</f>
        <v>330480</v>
      </c>
    </row>
    <row r="10" spans="1:15" x14ac:dyDescent="0.25">
      <c r="A10" s="26" t="s">
        <v>38</v>
      </c>
      <c r="B10" s="37">
        <f xml:space="preserve"> B36*B35</f>
        <v>14.399999999999999</v>
      </c>
      <c r="C10" s="17"/>
      <c r="D10" s="17"/>
      <c r="E10" s="43" t="s">
        <v>22</v>
      </c>
      <c r="F10" s="41">
        <f>F8*B43</f>
        <v>365512.5</v>
      </c>
      <c r="G10" s="41">
        <f>G8*B43</f>
        <v>369360</v>
      </c>
      <c r="H10" s="44">
        <f>H8*B43</f>
        <v>369360</v>
      </c>
    </row>
    <row r="11" spans="1:15" x14ac:dyDescent="0.25">
      <c r="A11" s="26" t="s">
        <v>40</v>
      </c>
      <c r="B11" s="29">
        <f>B37/52</f>
        <v>5.7692307692307692</v>
      </c>
      <c r="C11" s="17"/>
      <c r="D11" s="17"/>
      <c r="E11" s="49"/>
      <c r="F11" s="50"/>
      <c r="G11" s="50"/>
      <c r="H11" s="51"/>
    </row>
    <row r="12" spans="1:15" ht="15.75" thickBot="1" x14ac:dyDescent="0.3">
      <c r="A12" s="38" t="s">
        <v>46</v>
      </c>
      <c r="B12" s="39">
        <f>B9+B10+B11</f>
        <v>182.16923076923078</v>
      </c>
      <c r="C12" s="17"/>
      <c r="D12" s="17"/>
      <c r="E12" s="26" t="s">
        <v>4</v>
      </c>
      <c r="F12" s="41">
        <f>B12*F5</f>
        <v>5465.0769230769238</v>
      </c>
      <c r="G12" s="41">
        <f>B12*G5</f>
        <v>2186.0307692307692</v>
      </c>
      <c r="H12" s="44">
        <f>B12*H5</f>
        <v>1457.3538461538462</v>
      </c>
    </row>
    <row r="13" spans="1:15" x14ac:dyDescent="0.25">
      <c r="C13" s="17"/>
      <c r="D13" s="17"/>
      <c r="E13" s="26" t="s">
        <v>42</v>
      </c>
      <c r="F13" s="41">
        <f>(B32/1000)*B31</f>
        <v>13500</v>
      </c>
      <c r="G13" s="41">
        <f>(B32/1000)*B31</f>
        <v>13500</v>
      </c>
      <c r="H13" s="44">
        <f>(B32/1000)*B31</f>
        <v>13500</v>
      </c>
      <c r="K13" s="8"/>
      <c r="L13" s="8"/>
      <c r="M13" s="8"/>
      <c r="N13" s="8"/>
      <c r="O13" s="10"/>
    </row>
    <row r="14" spans="1:15" x14ac:dyDescent="0.25">
      <c r="A14" s="13"/>
      <c r="B14" s="25"/>
      <c r="C14" s="17"/>
      <c r="D14" s="17"/>
      <c r="E14" s="26" t="s">
        <v>5</v>
      </c>
      <c r="F14" s="41">
        <f>(B33*B17)/B34</f>
        <v>25714.285714285714</v>
      </c>
      <c r="G14" s="41">
        <f>(B33*B17)/B34</f>
        <v>25714.285714285714</v>
      </c>
      <c r="H14" s="44">
        <f>(B33*B17)/B34</f>
        <v>25714.285714285714</v>
      </c>
      <c r="K14" s="9"/>
      <c r="L14" s="6"/>
      <c r="M14" s="7"/>
      <c r="N14" s="7"/>
      <c r="O14" s="7"/>
    </row>
    <row r="15" spans="1:15" ht="15.75" thickBot="1" x14ac:dyDescent="0.3">
      <c r="A15" s="13"/>
      <c r="B15" s="25"/>
      <c r="C15" s="17"/>
      <c r="D15" s="17"/>
      <c r="E15" s="26" t="s">
        <v>48</v>
      </c>
      <c r="F15" s="41">
        <f>(((F8*B25)/60)/60)*B26</f>
        <v>4275</v>
      </c>
      <c r="G15" s="41" t="s">
        <v>51</v>
      </c>
      <c r="H15" s="44" t="s">
        <v>51</v>
      </c>
      <c r="K15" s="9"/>
      <c r="L15" s="6"/>
      <c r="M15" s="7"/>
      <c r="N15" s="7"/>
      <c r="O15" s="7"/>
    </row>
    <row r="16" spans="1:15" ht="18" x14ac:dyDescent="0.25">
      <c r="A16" s="77" t="s">
        <v>8</v>
      </c>
      <c r="B16" s="79"/>
      <c r="C16" s="17"/>
      <c r="D16" s="17"/>
      <c r="E16" s="43" t="s">
        <v>44</v>
      </c>
      <c r="F16" s="41">
        <f>SUM(F12:F15)</f>
        <v>48954.362637362632</v>
      </c>
      <c r="G16" s="41">
        <f t="shared" ref="G16:H16" si="0">SUM(G12:G14)</f>
        <v>41400.316483516479</v>
      </c>
      <c r="H16" s="44">
        <f t="shared" si="0"/>
        <v>40671.639560439558</v>
      </c>
      <c r="K16" s="9"/>
      <c r="L16" s="6"/>
      <c r="M16" s="7"/>
      <c r="N16" s="7"/>
      <c r="O16" s="7"/>
    </row>
    <row r="17" spans="1:15" x14ac:dyDescent="0.25">
      <c r="A17" s="26" t="s">
        <v>25</v>
      </c>
      <c r="B17" s="28">
        <v>500</v>
      </c>
      <c r="C17" s="17"/>
      <c r="D17" s="17"/>
      <c r="E17" s="49"/>
      <c r="F17" s="52"/>
      <c r="G17" s="52"/>
      <c r="H17" s="53"/>
      <c r="K17" s="9"/>
      <c r="L17" s="6"/>
      <c r="M17" s="7"/>
      <c r="N17" s="7"/>
      <c r="O17" s="7"/>
    </row>
    <row r="18" spans="1:15" x14ac:dyDescent="0.25">
      <c r="A18" s="26" t="s">
        <v>24</v>
      </c>
      <c r="B18" s="28">
        <v>6</v>
      </c>
      <c r="C18" s="17"/>
      <c r="D18" s="17"/>
      <c r="E18" s="43" t="s">
        <v>45</v>
      </c>
      <c r="F18" s="41"/>
      <c r="G18" s="41"/>
      <c r="H18" s="44"/>
      <c r="K18" s="9"/>
      <c r="L18" s="6"/>
      <c r="M18" s="7"/>
      <c r="N18" s="7"/>
      <c r="O18" s="7"/>
    </row>
    <row r="19" spans="1:15" x14ac:dyDescent="0.25">
      <c r="A19" s="26" t="s">
        <v>41</v>
      </c>
      <c r="B19" s="28">
        <v>0.05</v>
      </c>
      <c r="C19" s="17"/>
      <c r="D19" s="17"/>
      <c r="E19" s="26" t="s">
        <v>19</v>
      </c>
      <c r="F19" s="41">
        <f>F9-F16</f>
        <v>278083.13736263738</v>
      </c>
      <c r="G19" s="41">
        <f>G9-G16</f>
        <v>289079.68351648352</v>
      </c>
      <c r="H19" s="44">
        <f>H9-H16</f>
        <v>289808.36043956043</v>
      </c>
      <c r="K19" s="9"/>
      <c r="L19" s="6"/>
      <c r="M19" s="7"/>
      <c r="N19" s="7"/>
      <c r="O19" s="7"/>
    </row>
    <row r="20" spans="1:15" ht="15.75" thickBot="1" x14ac:dyDescent="0.3">
      <c r="A20" s="26" t="s">
        <v>15</v>
      </c>
      <c r="B20" s="28">
        <v>0.04</v>
      </c>
      <c r="C20" s="17"/>
      <c r="D20" s="17"/>
      <c r="E20" s="30" t="s">
        <v>20</v>
      </c>
      <c r="F20" s="45">
        <f>F10-F16</f>
        <v>316558.13736263738</v>
      </c>
      <c r="G20" s="45">
        <f>G10-G16</f>
        <v>327959.68351648352</v>
      </c>
      <c r="H20" s="46">
        <f>H10-H16</f>
        <v>328688.36043956043</v>
      </c>
      <c r="K20" s="9"/>
      <c r="L20" s="6"/>
      <c r="M20" s="7"/>
      <c r="N20" s="7"/>
      <c r="O20" s="7"/>
    </row>
    <row r="21" spans="1:15" x14ac:dyDescent="0.25">
      <c r="A21" s="26" t="s">
        <v>16</v>
      </c>
      <c r="B21" s="28">
        <v>0.04</v>
      </c>
      <c r="C21" s="17"/>
      <c r="D21" s="17"/>
      <c r="E21" s="13"/>
      <c r="F21" s="21"/>
      <c r="G21" s="21"/>
      <c r="H21" s="21"/>
      <c r="K21" s="9"/>
      <c r="L21" s="6"/>
      <c r="M21" s="7"/>
      <c r="N21" s="7"/>
      <c r="O21" s="7"/>
    </row>
    <row r="22" spans="1:15" x14ac:dyDescent="0.25">
      <c r="A22" s="26" t="s">
        <v>17</v>
      </c>
      <c r="B22" s="28">
        <v>0.1</v>
      </c>
      <c r="C22" s="17"/>
      <c r="D22" s="17"/>
      <c r="E22" s="17"/>
      <c r="F22" s="23"/>
      <c r="G22" s="17"/>
      <c r="H22" s="17"/>
    </row>
    <row r="23" spans="1:15" x14ac:dyDescent="0.25">
      <c r="A23" s="26" t="s">
        <v>23</v>
      </c>
      <c r="B23" s="28">
        <v>76</v>
      </c>
      <c r="C23" s="17"/>
      <c r="D23" s="17"/>
      <c r="E23" s="17"/>
      <c r="F23" s="22"/>
      <c r="G23" s="22"/>
      <c r="H23" s="22"/>
      <c r="K23" s="20"/>
      <c r="L23" s="20"/>
      <c r="M23" s="20"/>
      <c r="N23" s="20"/>
      <c r="O23" s="20"/>
    </row>
    <row r="24" spans="1:15" x14ac:dyDescent="0.25">
      <c r="A24" s="26" t="s">
        <v>9</v>
      </c>
      <c r="B24" s="28">
        <v>150</v>
      </c>
      <c r="C24" s="17"/>
      <c r="D24" s="17"/>
      <c r="E24" s="17"/>
      <c r="F24" s="22"/>
      <c r="G24" s="22"/>
      <c r="H24" s="22"/>
      <c r="K24" s="18"/>
      <c r="L24" s="18"/>
      <c r="M24" s="18"/>
      <c r="N24" s="18"/>
      <c r="O24" s="19"/>
    </row>
    <row r="25" spans="1:15" x14ac:dyDescent="0.25">
      <c r="A25" s="26" t="s">
        <v>49</v>
      </c>
      <c r="B25" s="28">
        <v>5</v>
      </c>
      <c r="C25" s="17"/>
      <c r="D25" s="17"/>
      <c r="E25" s="17"/>
      <c r="F25" s="22"/>
      <c r="G25" s="22"/>
      <c r="H25" s="22"/>
      <c r="K25" s="18"/>
      <c r="L25" s="18"/>
      <c r="M25" s="18"/>
      <c r="N25" s="18"/>
      <c r="O25" s="19"/>
    </row>
    <row r="26" spans="1:15" ht="15.75" thickBot="1" x14ac:dyDescent="0.3">
      <c r="A26" s="88" t="s">
        <v>50</v>
      </c>
      <c r="B26" s="89">
        <v>8</v>
      </c>
      <c r="C26" s="17"/>
      <c r="D26" s="17"/>
      <c r="E26" s="17"/>
      <c r="F26" s="22"/>
      <c r="G26" s="22"/>
      <c r="H26" s="22"/>
      <c r="K26" s="18"/>
      <c r="L26" s="18"/>
      <c r="M26" s="18"/>
      <c r="N26" s="18"/>
      <c r="O26" s="19"/>
    </row>
    <row r="27" spans="1:15" x14ac:dyDescent="0.25">
      <c r="A27" s="86"/>
      <c r="B27" s="87"/>
      <c r="C27" s="17"/>
      <c r="D27" s="17"/>
      <c r="E27" s="17"/>
      <c r="F27" s="22"/>
      <c r="G27" s="22"/>
      <c r="H27" s="22"/>
      <c r="K27" s="18"/>
      <c r="L27" s="18"/>
      <c r="M27" s="18"/>
      <c r="N27" s="18"/>
      <c r="O27" s="19"/>
    </row>
    <row r="28" spans="1:15" x14ac:dyDescent="0.25">
      <c r="A28" s="86"/>
      <c r="B28" s="87"/>
      <c r="C28" s="17"/>
      <c r="D28" s="17"/>
      <c r="E28" s="17"/>
      <c r="F28" s="22"/>
      <c r="G28" s="22"/>
      <c r="H28" s="22"/>
      <c r="K28" s="18"/>
      <c r="L28" s="18"/>
      <c r="M28" s="18"/>
      <c r="N28" s="18"/>
      <c r="O28" s="19"/>
    </row>
    <row r="29" spans="1:15" ht="15.75" thickBot="1" x14ac:dyDescent="0.3">
      <c r="A29" s="17"/>
      <c r="B29" s="24"/>
      <c r="C29" s="17"/>
      <c r="D29" s="17"/>
      <c r="E29" s="17"/>
      <c r="F29" s="22"/>
      <c r="G29" s="22"/>
      <c r="H29" s="22"/>
      <c r="K29" s="18"/>
      <c r="L29" s="18"/>
      <c r="M29" s="18"/>
      <c r="N29" s="18"/>
      <c r="O29" s="19"/>
    </row>
    <row r="30" spans="1:15" ht="18" x14ac:dyDescent="0.25">
      <c r="A30" s="77" t="s">
        <v>35</v>
      </c>
      <c r="B30" s="80"/>
      <c r="C30" s="17"/>
      <c r="D30" s="17"/>
      <c r="E30" s="17"/>
      <c r="F30" s="21"/>
      <c r="G30" s="21"/>
      <c r="H30" s="21"/>
      <c r="K30" s="14"/>
      <c r="L30" s="15"/>
      <c r="M30" s="15"/>
      <c r="N30" s="15"/>
      <c r="O30" s="16"/>
    </row>
    <row r="31" spans="1:15" x14ac:dyDescent="0.25">
      <c r="A31" s="26" t="s">
        <v>10</v>
      </c>
      <c r="B31" s="27">
        <v>30</v>
      </c>
      <c r="C31" s="17"/>
      <c r="D31" s="17"/>
      <c r="E31" s="17"/>
      <c r="F31" s="21"/>
      <c r="G31" s="21"/>
      <c r="H31" s="21"/>
      <c r="K31" s="14"/>
      <c r="L31" s="15"/>
      <c r="M31" s="15"/>
      <c r="N31" s="15"/>
      <c r="O31" s="16"/>
    </row>
    <row r="32" spans="1:15" x14ac:dyDescent="0.25">
      <c r="A32" s="26" t="s">
        <v>43</v>
      </c>
      <c r="B32" s="35">
        <v>450000</v>
      </c>
      <c r="C32" s="17"/>
      <c r="D32" s="17"/>
      <c r="E32" s="17"/>
      <c r="F32" s="21"/>
      <c r="G32" s="21"/>
      <c r="H32" s="21"/>
      <c r="K32" s="14"/>
      <c r="L32" s="15"/>
      <c r="M32" s="15"/>
      <c r="N32" s="15"/>
      <c r="O32" s="16"/>
    </row>
    <row r="33" spans="1:15" x14ac:dyDescent="0.25">
      <c r="A33" s="26" t="s">
        <v>26</v>
      </c>
      <c r="B33" s="27">
        <v>360</v>
      </c>
      <c r="C33" s="17"/>
      <c r="D33" s="17"/>
      <c r="E33" s="17"/>
      <c r="F33" s="21"/>
      <c r="G33" s="21"/>
      <c r="H33" s="21"/>
      <c r="K33" s="14"/>
      <c r="L33" s="15"/>
      <c r="M33" s="15"/>
      <c r="N33" s="15"/>
      <c r="O33" s="16"/>
    </row>
    <row r="34" spans="1:15" x14ac:dyDescent="0.25">
      <c r="A34" s="26" t="s">
        <v>11</v>
      </c>
      <c r="B34" s="28">
        <v>7</v>
      </c>
      <c r="C34" s="17"/>
      <c r="D34" s="17"/>
      <c r="E34" s="17"/>
      <c r="F34" s="21"/>
      <c r="G34" s="21"/>
      <c r="H34" s="21"/>
      <c r="K34" s="14"/>
      <c r="L34" s="15"/>
      <c r="M34" s="15"/>
      <c r="N34" s="15"/>
      <c r="O34" s="16"/>
    </row>
    <row r="35" spans="1:15" x14ac:dyDescent="0.25">
      <c r="A35" s="26" t="s">
        <v>36</v>
      </c>
      <c r="B35" s="29">
        <v>2.4</v>
      </c>
      <c r="C35" s="17"/>
      <c r="D35" s="17"/>
      <c r="E35" s="17"/>
      <c r="F35" s="21"/>
      <c r="G35" s="21"/>
      <c r="H35" s="21"/>
      <c r="K35" s="14"/>
      <c r="L35" s="15"/>
      <c r="M35" s="15"/>
      <c r="N35" s="15"/>
      <c r="O35" s="16"/>
    </row>
    <row r="36" spans="1:15" x14ac:dyDescent="0.25">
      <c r="A36" s="26" t="s">
        <v>37</v>
      </c>
      <c r="B36" s="28">
        <v>6</v>
      </c>
      <c r="C36" s="17"/>
      <c r="D36" s="17"/>
      <c r="E36" s="17"/>
      <c r="F36" s="21"/>
      <c r="G36" s="21"/>
      <c r="H36" s="21"/>
      <c r="K36" s="14"/>
      <c r="L36" s="15"/>
      <c r="M36" s="15"/>
      <c r="N36" s="15"/>
      <c r="O36" s="16"/>
    </row>
    <row r="37" spans="1:15" ht="15.75" thickBot="1" x14ac:dyDescent="0.3">
      <c r="A37" s="30" t="s">
        <v>39</v>
      </c>
      <c r="B37" s="31">
        <v>300</v>
      </c>
      <c r="C37" s="17"/>
      <c r="D37" s="17"/>
      <c r="E37" s="17"/>
      <c r="F37" s="21"/>
      <c r="G37" s="21"/>
      <c r="H37" s="21"/>
      <c r="K37" s="14"/>
      <c r="L37" s="15"/>
      <c r="M37" s="15"/>
      <c r="N37" s="15"/>
      <c r="O37" s="16"/>
    </row>
    <row r="38" spans="1:15" x14ac:dyDescent="0.25">
      <c r="A38" s="85"/>
      <c r="B38" s="90"/>
      <c r="C38" s="17"/>
      <c r="D38" s="17"/>
      <c r="E38" s="17"/>
      <c r="F38" s="21"/>
      <c r="G38" s="21"/>
      <c r="H38" s="21"/>
      <c r="K38" s="14"/>
      <c r="L38" s="15"/>
      <c r="M38" s="15"/>
      <c r="N38" s="15"/>
      <c r="O38" s="16"/>
    </row>
    <row r="39" spans="1:15" x14ac:dyDescent="0.25">
      <c r="A39" s="85"/>
      <c r="B39" s="90"/>
      <c r="C39" s="17"/>
      <c r="D39" s="17"/>
      <c r="E39" s="17"/>
      <c r="F39" s="21"/>
      <c r="G39" s="21"/>
      <c r="H39" s="21"/>
      <c r="K39" s="14"/>
      <c r="L39" s="15"/>
      <c r="M39" s="15"/>
      <c r="N39" s="15"/>
      <c r="O39" s="16"/>
    </row>
    <row r="40" spans="1:15" ht="15.75" thickBot="1" x14ac:dyDescent="0.3">
      <c r="A40" s="17"/>
      <c r="B40" s="24"/>
      <c r="C40" s="17"/>
      <c r="D40" s="17"/>
      <c r="E40" s="17"/>
      <c r="F40" s="21"/>
      <c r="G40" s="21"/>
      <c r="H40" s="21"/>
      <c r="K40" s="14"/>
      <c r="L40" s="15"/>
      <c r="M40" s="15"/>
      <c r="N40" s="15"/>
      <c r="O40" s="16"/>
    </row>
    <row r="41" spans="1:15" ht="18" x14ac:dyDescent="0.25">
      <c r="A41" s="77" t="s">
        <v>18</v>
      </c>
      <c r="B41" s="79"/>
      <c r="C41" s="17"/>
      <c r="D41" s="17"/>
      <c r="E41" s="17"/>
      <c r="F41" s="21"/>
      <c r="G41" s="21"/>
      <c r="H41" s="21"/>
    </row>
    <row r="42" spans="1:15" x14ac:dyDescent="0.25">
      <c r="A42" s="26" t="s">
        <v>19</v>
      </c>
      <c r="B42" s="29">
        <v>0.85</v>
      </c>
      <c r="C42" s="17"/>
      <c r="D42" s="17"/>
      <c r="E42" s="17"/>
      <c r="F42" s="17"/>
      <c r="G42" s="17"/>
      <c r="H42" s="17"/>
    </row>
    <row r="43" spans="1:15" ht="15.75" thickBot="1" x14ac:dyDescent="0.3">
      <c r="A43" s="30" t="s">
        <v>20</v>
      </c>
      <c r="B43" s="31">
        <v>0.95</v>
      </c>
      <c r="C43" s="17"/>
      <c r="D43" s="17"/>
      <c r="E43" s="17"/>
      <c r="F43" s="17"/>
      <c r="G43" s="17"/>
      <c r="H43" s="17"/>
    </row>
    <row r="44" spans="1:15" x14ac:dyDescent="0.25">
      <c r="A44" s="17"/>
      <c r="B44" s="22"/>
      <c r="C44" s="17"/>
      <c r="D44" s="17"/>
      <c r="E44" s="17"/>
      <c r="F44" s="17"/>
      <c r="G44" s="17"/>
      <c r="H44" s="17"/>
    </row>
    <row r="45" spans="1:15" x14ac:dyDescent="0.25">
      <c r="A45" s="17"/>
      <c r="B45" s="22"/>
      <c r="C45" s="17"/>
      <c r="D45" s="17"/>
      <c r="E45" s="17"/>
      <c r="F45" s="17"/>
      <c r="G45" s="17"/>
      <c r="H45" s="17"/>
    </row>
    <row r="46" spans="1:15" x14ac:dyDescent="0.25">
      <c r="A46" s="17"/>
      <c r="B46" s="22"/>
      <c r="C46" s="17"/>
      <c r="D46" s="17"/>
      <c r="E46" s="17"/>
      <c r="F46" s="17"/>
      <c r="G46" s="17"/>
      <c r="H46" s="17"/>
    </row>
    <row r="47" spans="1:15" x14ac:dyDescent="0.25">
      <c r="A47" s="17"/>
      <c r="B47" s="22"/>
      <c r="C47" s="17"/>
      <c r="D47" s="17"/>
      <c r="E47" s="17"/>
      <c r="F47" s="17"/>
      <c r="G47" s="17"/>
      <c r="H47" s="17"/>
    </row>
    <row r="48" spans="1:15" x14ac:dyDescent="0.25">
      <c r="A48" s="17"/>
      <c r="B48" s="22"/>
      <c r="C48" s="17"/>
      <c r="D48" s="17"/>
      <c r="E48" s="17"/>
      <c r="F48" s="17"/>
      <c r="G48" s="17"/>
      <c r="H48" s="17"/>
    </row>
    <row r="49" spans="1:8" x14ac:dyDescent="0.25">
      <c r="A49" s="17"/>
      <c r="B49" s="22"/>
      <c r="C49" s="17"/>
      <c r="D49" s="17"/>
      <c r="E49" s="17"/>
      <c r="F49" s="17"/>
      <c r="G49" s="17"/>
      <c r="H49" s="17"/>
    </row>
    <row r="50" spans="1:8" x14ac:dyDescent="0.25">
      <c r="A50" s="17"/>
      <c r="B50" s="22"/>
      <c r="C50" s="17"/>
      <c r="D50" s="17"/>
      <c r="E50" s="17"/>
      <c r="F50" s="17"/>
      <c r="G50" s="17"/>
      <c r="H50" s="17"/>
    </row>
    <row r="51" spans="1:8" x14ac:dyDescent="0.25">
      <c r="A51" s="17"/>
      <c r="B51" s="22"/>
      <c r="C51" s="17"/>
      <c r="D51" s="17"/>
      <c r="E51" s="17"/>
      <c r="F51" s="17"/>
      <c r="G51" s="17"/>
      <c r="H51" s="17"/>
    </row>
    <row r="52" spans="1:8" x14ac:dyDescent="0.25">
      <c r="A52" s="17"/>
      <c r="B52" s="22"/>
      <c r="C52" s="17"/>
      <c r="D52" s="17"/>
      <c r="E52" s="17"/>
      <c r="F52" s="17"/>
      <c r="G52" s="17"/>
      <c r="H52" s="17"/>
    </row>
    <row r="53" spans="1:8" x14ac:dyDescent="0.25">
      <c r="A53" s="3"/>
      <c r="B53" s="5"/>
    </row>
    <row r="54" spans="1:8" x14ac:dyDescent="0.25">
      <c r="A54" s="13"/>
    </row>
    <row r="55" spans="1:8" x14ac:dyDescent="0.25">
      <c r="B55" s="11"/>
    </row>
    <row r="56" spans="1:8" x14ac:dyDescent="0.25">
      <c r="B56" s="12"/>
    </row>
    <row r="57" spans="1:8" x14ac:dyDescent="0.25">
      <c r="B57" s="11"/>
    </row>
    <row r="58" spans="1:8" x14ac:dyDescent="0.25">
      <c r="B58" s="12"/>
    </row>
    <row r="59" spans="1:8" x14ac:dyDescent="0.25">
      <c r="B59" s="12"/>
    </row>
    <row r="60" spans="1:8" x14ac:dyDescent="0.25">
      <c r="B60" s="12"/>
    </row>
    <row r="61" spans="1:8" x14ac:dyDescent="0.25">
      <c r="B61" s="1"/>
    </row>
    <row r="62" spans="1:8" x14ac:dyDescent="0.25">
      <c r="B62" s="2"/>
    </row>
    <row r="63" spans="1:8" x14ac:dyDescent="0.25">
      <c r="B63" s="2"/>
    </row>
    <row r="64" spans="1:8" x14ac:dyDescent="0.25">
      <c r="B64" s="2"/>
    </row>
    <row r="65" spans="1:2" x14ac:dyDescent="0.25">
      <c r="A65" s="3"/>
      <c r="B65" s="4"/>
    </row>
    <row r="66" spans="1:2" x14ac:dyDescent="0.25">
      <c r="A66" s="3"/>
      <c r="B66" s="4"/>
    </row>
  </sheetData>
  <mergeCells count="3">
    <mergeCell ref="E1:H1"/>
    <mergeCell ref="E2:E3"/>
    <mergeCell ref="F2:H2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Georgia</vt:lpstr>
      <vt:lpstr>South Carolina</vt:lpstr>
      <vt:lpstr>North Carolina</vt:lpstr>
      <vt:lpstr>Florida</vt:lpstr>
      <vt:lpstr>Alabama</vt:lpstr>
      <vt:lpstr>Mississippi</vt:lpstr>
      <vt:lpstr>Louisiana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Kirk</dc:creator>
  <cp:lastModifiedBy>Julie</cp:lastModifiedBy>
  <cp:lastPrinted>2020-06-14T04:04:57Z</cp:lastPrinted>
  <dcterms:created xsi:type="dcterms:W3CDTF">2019-02-14T20:10:59Z</dcterms:created>
  <dcterms:modified xsi:type="dcterms:W3CDTF">2020-06-14T04:07:19Z</dcterms:modified>
</cp:coreProperties>
</file>