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fwc-ckfs2\cedarkey\Common\Shellfish Extension\SC-FL 2024 RMA Projectl\Resources for Workshops\"/>
    </mc:Choice>
  </mc:AlternateContent>
  <xr:revisionPtr revIDLastSave="0" documentId="13_ncr:1_{8DF2422C-5B12-491A-8C44-1045179C971E}" xr6:coauthVersionLast="47" xr6:coauthVersionMax="47" xr10:uidLastSave="{00000000-0000-0000-0000-000000000000}"/>
  <bookViews>
    <workbookView xWindow="-110" yWindow="-110" windowWidth="19420" windowHeight="10420" tabRatio="897" xr2:uid="{00000000-000D-0000-FFFF-FFFF00000000}"/>
  </bookViews>
  <sheets>
    <sheet name="Introduction" sheetId="6" r:id="rId1"/>
    <sheet name="How To Use" sheetId="9" r:id="rId2"/>
    <sheet name="Land Expense" sheetId="7" r:id="rId3"/>
    <sheet name="Assumptions" sheetId="1" r:id="rId4"/>
    <sheet name="Bottom Prep and Capital Cost" sheetId="2" r:id="rId5"/>
    <sheet name="Yearly Enterprise Budget" sheetId="3" r:id="rId6"/>
    <sheet name="Yearly Income Analysis" sheetId="4" r:id="rId7"/>
    <sheet name="Sensitivity Analysis" sheetId="5" r:id="rId8"/>
  </sheets>
  <definedNames>
    <definedName name="_xlnm.Print_Area" localSheetId="5">'Yearly Enterprise Budget'!$C$2:$I$62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0" i="1" l="1"/>
  <c r="K31" i="1" l="1"/>
  <c r="E14" i="2" s="1"/>
  <c r="K34" i="1"/>
  <c r="K32" i="1"/>
  <c r="D11" i="3" l="1"/>
  <c r="F11" i="3"/>
  <c r="D44" i="3" l="1"/>
  <c r="G44" i="3"/>
  <c r="G54" i="3"/>
  <c r="G55" i="3"/>
  <c r="F37" i="3"/>
  <c r="D28" i="3"/>
  <c r="J12" i="5" l="1"/>
  <c r="K12" i="5" s="1"/>
  <c r="D6" i="4"/>
  <c r="D23" i="3"/>
  <c r="D22" i="3"/>
  <c r="I12" i="5" l="1"/>
  <c r="L12" i="5"/>
  <c r="H12" i="5" l="1"/>
  <c r="G12" i="5" s="1"/>
  <c r="F12" i="5" s="1"/>
  <c r="E12" i="5" s="1"/>
  <c r="D12" i="5" l="1"/>
  <c r="C7" i="5"/>
  <c r="B22" i="5" s="1"/>
  <c r="C12" i="5" l="1"/>
  <c r="B23" i="5"/>
  <c r="B21" i="5"/>
  <c r="D26" i="3"/>
  <c r="B7" i="5"/>
  <c r="I44" i="2"/>
  <c r="I45" i="2"/>
  <c r="I46" i="2"/>
  <c r="I40" i="2"/>
  <c r="I41" i="2"/>
  <c r="B20" i="5" l="1"/>
  <c r="B24" i="5"/>
  <c r="F38" i="3"/>
  <c r="G38" i="3" s="1"/>
  <c r="G37" i="3"/>
  <c r="B25" i="5" l="1"/>
  <c r="B19" i="5"/>
  <c r="D4" i="4"/>
  <c r="B18" i="5" l="1"/>
  <c r="B26" i="5"/>
  <c r="B27" i="5" s="1"/>
  <c r="B28" i="5" l="1"/>
  <c r="B17" i="5"/>
  <c r="B29" i="5" l="1"/>
  <c r="B30" i="5" s="1"/>
  <c r="B31" i="5" s="1"/>
  <c r="B32" i="5" s="1"/>
  <c r="B16" i="5"/>
  <c r="I36" i="2"/>
  <c r="O36" i="2" s="1"/>
  <c r="B15" i="5" l="1"/>
  <c r="F20" i="3"/>
  <c r="F19" i="3"/>
  <c r="K36" i="1" l="1"/>
  <c r="D20" i="3" s="1"/>
  <c r="E14" i="5" l="1"/>
  <c r="D14" i="5"/>
  <c r="C14" i="5"/>
  <c r="K35" i="1"/>
  <c r="G14" i="5"/>
  <c r="F14" i="5"/>
  <c r="K14" i="5"/>
  <c r="J14" i="5"/>
  <c r="L14" i="5"/>
  <c r="I14" i="5"/>
  <c r="H14" i="5"/>
  <c r="D19" i="3"/>
  <c r="G19" i="3" s="1"/>
  <c r="G20" i="3"/>
  <c r="K33" i="1"/>
  <c r="H44" i="3" s="1"/>
  <c r="H37" i="3" l="1"/>
  <c r="H38" i="3"/>
  <c r="H20" i="3"/>
  <c r="H19" i="3"/>
  <c r="I15" i="2"/>
  <c r="O15" i="2" s="1"/>
  <c r="I16" i="2"/>
  <c r="O16" i="2" s="1"/>
  <c r="I17" i="2"/>
  <c r="O17" i="2" s="1"/>
  <c r="G39" i="3"/>
  <c r="G11" i="3" l="1"/>
  <c r="G14" i="3" l="1"/>
  <c r="I33" i="2"/>
  <c r="O33" i="2" s="1"/>
  <c r="I34" i="2"/>
  <c r="O34" i="2" s="1"/>
  <c r="I35" i="2"/>
  <c r="O35" i="2" s="1"/>
  <c r="I37" i="2"/>
  <c r="O37" i="2" s="1"/>
  <c r="I38" i="2"/>
  <c r="I39" i="2"/>
  <c r="I42" i="2"/>
  <c r="I43" i="2"/>
  <c r="I47" i="2"/>
  <c r="I32" i="2"/>
  <c r="I12" i="2"/>
  <c r="O12" i="2" s="1"/>
  <c r="I13" i="2"/>
  <c r="O13" i="2" s="1"/>
  <c r="I18" i="2"/>
  <c r="O18" i="2" s="1"/>
  <c r="I11" i="2"/>
  <c r="O11" i="2" s="1"/>
  <c r="O32" i="2" l="1"/>
  <c r="O49" i="2" s="1"/>
  <c r="I49" i="2"/>
  <c r="G27" i="3" l="1"/>
  <c r="G41" i="3"/>
  <c r="G24" i="3"/>
  <c r="F23" i="3"/>
  <c r="G23" i="3" l="1"/>
  <c r="G25" i="3" l="1"/>
  <c r="F40" i="3"/>
  <c r="G13" i="4"/>
  <c r="C13" i="4" s="1"/>
  <c r="E7" i="3"/>
  <c r="D40" i="3"/>
  <c r="F26" i="3"/>
  <c r="F22" i="3"/>
  <c r="H24" i="3" l="1"/>
  <c r="H25" i="3"/>
  <c r="H23" i="3"/>
  <c r="G22" i="3"/>
  <c r="G18" i="4"/>
  <c r="C18" i="4" s="1"/>
  <c r="G14" i="4"/>
  <c r="C14" i="4" s="1"/>
  <c r="G10" i="4"/>
  <c r="C10" i="4" s="1"/>
  <c r="G19" i="4"/>
  <c r="C19" i="4" s="1"/>
  <c r="G15" i="4"/>
  <c r="C15" i="4" s="1"/>
  <c r="G11" i="4"/>
  <c r="C11" i="4" s="1"/>
  <c r="G9" i="4"/>
  <c r="C9" i="4" s="1"/>
  <c r="G16" i="4"/>
  <c r="C16" i="4" s="1"/>
  <c r="G12" i="4"/>
  <c r="C12" i="4" s="1"/>
  <c r="G17" i="4"/>
  <c r="C17" i="4" s="1"/>
  <c r="H41" i="3"/>
  <c r="H39" i="3"/>
  <c r="H27" i="3"/>
  <c r="G40" i="3"/>
  <c r="G26" i="3" l="1"/>
  <c r="G28" i="3" s="1"/>
  <c r="H22" i="3"/>
  <c r="H40" i="3"/>
  <c r="H26" i="3" l="1"/>
  <c r="H32" i="3" l="1"/>
  <c r="H31" i="3"/>
  <c r="H30" i="3"/>
  <c r="H29" i="3"/>
  <c r="I14" i="2" l="1"/>
  <c r="O14" i="2" s="1"/>
  <c r="O24" i="2" s="1"/>
  <c r="O51" i="2" s="1"/>
  <c r="G43" i="3" s="1"/>
  <c r="G56" i="3" s="1"/>
  <c r="H43" i="3" l="1"/>
  <c r="I24" i="2"/>
  <c r="I51" i="2" s="1"/>
  <c r="D5" i="4" l="1"/>
  <c r="D9" i="4" s="1"/>
  <c r="G42" i="3"/>
  <c r="F9" i="4" l="1"/>
  <c r="E9" i="4"/>
  <c r="H42" i="3"/>
  <c r="H28" i="3" l="1"/>
  <c r="G33" i="3"/>
  <c r="G45" i="3" l="1"/>
  <c r="H33" i="3"/>
  <c r="G48" i="3" l="1"/>
  <c r="G51" i="3" s="1"/>
  <c r="H45" i="3"/>
  <c r="E22" i="5" l="1"/>
  <c r="D22" i="5"/>
  <c r="C21" i="5"/>
  <c r="E23" i="5"/>
  <c r="C22" i="5"/>
  <c r="D21" i="5"/>
  <c r="C23" i="5"/>
  <c r="E21" i="5"/>
  <c r="D23" i="5"/>
  <c r="D24" i="5"/>
  <c r="D20" i="5"/>
  <c r="E24" i="5"/>
  <c r="C20" i="5"/>
  <c r="C24" i="5"/>
  <c r="E20" i="5"/>
  <c r="C19" i="5"/>
  <c r="E25" i="5"/>
  <c r="D19" i="5"/>
  <c r="D25" i="5"/>
  <c r="E19" i="5"/>
  <c r="C25" i="5"/>
  <c r="C27" i="5"/>
  <c r="H27" i="5"/>
  <c r="E27" i="5"/>
  <c r="C26" i="5"/>
  <c r="E18" i="5"/>
  <c r="G27" i="5"/>
  <c r="L27" i="5"/>
  <c r="I27" i="5"/>
  <c r="D18" i="5"/>
  <c r="K27" i="5"/>
  <c r="F27" i="5"/>
  <c r="J27" i="5"/>
  <c r="E26" i="5"/>
  <c r="D26" i="5"/>
  <c r="D27" i="5"/>
  <c r="C18" i="5"/>
  <c r="E28" i="5"/>
  <c r="H28" i="5"/>
  <c r="C17" i="5"/>
  <c r="D29" i="5"/>
  <c r="C28" i="5"/>
  <c r="D28" i="5"/>
  <c r="D17" i="5"/>
  <c r="E29" i="5"/>
  <c r="F28" i="5"/>
  <c r="G28" i="5"/>
  <c r="L28" i="5"/>
  <c r="J28" i="5"/>
  <c r="K28" i="5"/>
  <c r="E17" i="5"/>
  <c r="C29" i="5"/>
  <c r="I28" i="5"/>
  <c r="D16" i="5"/>
  <c r="D30" i="5"/>
  <c r="C16" i="5"/>
  <c r="E30" i="5"/>
  <c r="E16" i="5"/>
  <c r="C30" i="5"/>
  <c r="C15" i="5"/>
  <c r="D31" i="5"/>
  <c r="D15" i="5"/>
  <c r="C31" i="5"/>
  <c r="E15" i="5"/>
  <c r="E31" i="5"/>
  <c r="C32" i="5"/>
  <c r="D32" i="5"/>
  <c r="E32" i="5"/>
  <c r="I45" i="3"/>
  <c r="I44" i="3"/>
  <c r="I24" i="3"/>
  <c r="G19" i="5"/>
  <c r="L23" i="5"/>
  <c r="G26" i="5"/>
  <c r="J17" i="5"/>
  <c r="K23" i="5"/>
  <c r="G29" i="5"/>
  <c r="H26" i="5"/>
  <c r="J15" i="5"/>
  <c r="K26" i="5"/>
  <c r="J21" i="5"/>
  <c r="F19" i="5"/>
  <c r="F25" i="5"/>
  <c r="L15" i="5"/>
  <c r="H22" i="5"/>
  <c r="I20" i="5"/>
  <c r="F15" i="5"/>
  <c r="I29" i="5"/>
  <c r="H21" i="5"/>
  <c r="H25" i="5"/>
  <c r="K32" i="5"/>
  <c r="I30" i="5"/>
  <c r="K30" i="5"/>
  <c r="I48" i="3"/>
  <c r="K25" i="5"/>
  <c r="I31" i="5"/>
  <c r="L29" i="5"/>
  <c r="F32" i="5"/>
  <c r="F20" i="5"/>
  <c r="J23" i="5"/>
  <c r="I16" i="5"/>
  <c r="K21" i="5"/>
  <c r="D11" i="4"/>
  <c r="E11" i="4" s="1"/>
  <c r="D10" i="4"/>
  <c r="H29" i="5"/>
  <c r="I26" i="3"/>
  <c r="L30" i="5"/>
  <c r="L19" i="5"/>
  <c r="I17" i="5"/>
  <c r="L22" i="5"/>
  <c r="H19" i="5"/>
  <c r="I29" i="3"/>
  <c r="F22" i="5"/>
  <c r="I19" i="5"/>
  <c r="L17" i="5"/>
  <c r="L20" i="5"/>
  <c r="I28" i="3"/>
  <c r="G32" i="5"/>
  <c r="F17" i="5"/>
  <c r="K31" i="5"/>
  <c r="I15" i="5"/>
  <c r="I37" i="3"/>
  <c r="G30" i="5"/>
  <c r="I24" i="5"/>
  <c r="H31" i="5"/>
  <c r="I25" i="3"/>
  <c r="J24" i="5"/>
  <c r="J25" i="5"/>
  <c r="L32" i="5"/>
  <c r="L16" i="5"/>
  <c r="I21" i="5"/>
  <c r="I43" i="3"/>
  <c r="L21" i="5"/>
  <c r="I40" i="3"/>
  <c r="G31" i="5"/>
  <c r="I32" i="5"/>
  <c r="H20" i="5"/>
  <c r="J20" i="5"/>
  <c r="L24" i="5"/>
  <c r="J26" i="5"/>
  <c r="L26" i="5"/>
  <c r="I30" i="3"/>
  <c r="F29" i="5"/>
  <c r="K19" i="5"/>
  <c r="K15" i="5"/>
  <c r="J32" i="5"/>
  <c r="I27" i="3"/>
  <c r="L31" i="5"/>
  <c r="I42" i="3"/>
  <c r="D13" i="4"/>
  <c r="E13" i="4" s="1"/>
  <c r="H48" i="3"/>
  <c r="D62" i="3" s="1"/>
  <c r="D19" i="4"/>
  <c r="E19" i="4" s="1"/>
  <c r="D14" i="4"/>
  <c r="E14" i="4" s="1"/>
  <c r="D17" i="4"/>
  <c r="E17" i="4" s="1"/>
  <c r="I33" i="3"/>
  <c r="I23" i="5"/>
  <c r="G22" i="5"/>
  <c r="I20" i="3"/>
  <c r="I38" i="3"/>
  <c r="J31" i="5"/>
  <c r="I26" i="5"/>
  <c r="H16" i="5"/>
  <c r="G25" i="5"/>
  <c r="G15" i="5"/>
  <c r="K24" i="5"/>
  <c r="I18" i="5"/>
  <c r="D12" i="4"/>
  <c r="E12" i="4" s="1"/>
  <c r="I22" i="3"/>
  <c r="D16" i="4"/>
  <c r="E16" i="4" s="1"/>
  <c r="K16" i="5"/>
  <c r="F16" i="5"/>
  <c r="H30" i="5"/>
  <c r="G18" i="5"/>
  <c r="J19" i="5"/>
  <c r="K18" i="5"/>
  <c r="I39" i="3"/>
  <c r="K20" i="5"/>
  <c r="J16" i="5"/>
  <c r="H17" i="5"/>
  <c r="J18" i="5"/>
  <c r="F31" i="5"/>
  <c r="G17" i="5"/>
  <c r="I22" i="5"/>
  <c r="I32" i="3"/>
  <c r="F26" i="5"/>
  <c r="F21" i="5"/>
  <c r="G23" i="5"/>
  <c r="I25" i="5"/>
  <c r="K29" i="5"/>
  <c r="H24" i="5"/>
  <c r="G21" i="5"/>
  <c r="H32" i="5"/>
  <c r="L25" i="5"/>
  <c r="L18" i="5"/>
  <c r="F23" i="5"/>
  <c r="G16" i="5"/>
  <c r="H18" i="5"/>
  <c r="H23" i="5"/>
  <c r="F24" i="5"/>
  <c r="I23" i="3"/>
  <c r="H15" i="5"/>
  <c r="K22" i="5"/>
  <c r="D15" i="4"/>
  <c r="E15" i="4" s="1"/>
  <c r="G20" i="5"/>
  <c r="J29" i="5"/>
  <c r="G24" i="5"/>
  <c r="I41" i="3"/>
  <c r="F18" i="5"/>
  <c r="J22" i="5"/>
  <c r="J30" i="5"/>
  <c r="K17" i="5"/>
  <c r="F30" i="5"/>
  <c r="I31" i="3"/>
  <c r="I19" i="3"/>
  <c r="D18" i="4"/>
  <c r="E18" i="4" s="1"/>
  <c r="I18" i="3" l="1"/>
  <c r="E10" i="4"/>
  <c r="F10" i="4"/>
  <c r="F11" i="4" s="1"/>
  <c r="F12" i="4" s="1"/>
  <c r="F13" i="4" s="1"/>
  <c r="F14" i="4" s="1"/>
  <c r="F15" i="4" s="1"/>
  <c r="F16" i="4" s="1"/>
  <c r="F17" i="4" s="1"/>
  <c r="F18" i="4" s="1"/>
  <c r="F19" i="4" s="1"/>
  <c r="G52" i="3"/>
  <c r="G53" i="3" s="1"/>
  <c r="E62" i="3"/>
  <c r="I21" i="3"/>
  <c r="G57" i="3" l="1"/>
  <c r="E23" i="4"/>
  <c r="E25" i="4" s="1"/>
  <c r="E22" i="4"/>
</calcChain>
</file>

<file path=xl/sharedStrings.xml><?xml version="1.0" encoding="utf-8"?>
<sst xmlns="http://schemas.openxmlformats.org/spreadsheetml/2006/main" count="304" uniqueCount="205">
  <si>
    <t>Item</t>
  </si>
  <si>
    <t>Salvage Value</t>
  </si>
  <si>
    <t>Refrigeration Unit</t>
  </si>
  <si>
    <t>Shellwasher</t>
  </si>
  <si>
    <t>Sorting Tables</t>
  </si>
  <si>
    <t>Truck</t>
  </si>
  <si>
    <t>Fuel</t>
  </si>
  <si>
    <t>Labor</t>
  </si>
  <si>
    <t>#</t>
  </si>
  <si>
    <t>Total Cost</t>
  </si>
  <si>
    <t>Years Useful Life</t>
  </si>
  <si>
    <t>Yearly Depreciation</t>
  </si>
  <si>
    <t>Year prior to harvest will be expenses only.</t>
  </si>
  <si>
    <t>Income</t>
  </si>
  <si>
    <t>Total $</t>
  </si>
  <si>
    <t>Other</t>
  </si>
  <si>
    <t xml:space="preserve">Monitoring </t>
  </si>
  <si>
    <t>Retail Containers</t>
  </si>
  <si>
    <t>Marketing Expenses</t>
  </si>
  <si>
    <t>Overhead</t>
  </si>
  <si>
    <t>Insurance</t>
  </si>
  <si>
    <t>Lease Fees</t>
  </si>
  <si>
    <t>Permit Fees</t>
  </si>
  <si>
    <t>Depreciation</t>
  </si>
  <si>
    <t>Fixed Costs</t>
  </si>
  <si>
    <t>Total Costs</t>
  </si>
  <si>
    <t>Year</t>
  </si>
  <si>
    <t>Expenses</t>
  </si>
  <si>
    <t>Desired Annual Production</t>
  </si>
  <si>
    <t>Monitoring Cost</t>
  </si>
  <si>
    <t>Production Assumptions</t>
  </si>
  <si>
    <t>Marketing Assumptions</t>
  </si>
  <si>
    <t>Other Cost Assumptions</t>
  </si>
  <si>
    <t>Barge</t>
  </si>
  <si>
    <t>Yearly Loan Payments</t>
  </si>
  <si>
    <t>Capital Investment Cost</t>
  </si>
  <si>
    <t>Unit</t>
  </si>
  <si>
    <t>Quantity</t>
  </si>
  <si>
    <t>Gross Income</t>
  </si>
  <si>
    <t>Total Gross Income</t>
  </si>
  <si>
    <t>Total Variable Costs</t>
  </si>
  <si>
    <t>Vessel</t>
  </si>
  <si>
    <t>Front End Loader</t>
  </si>
  <si>
    <t>Required Items</t>
  </si>
  <si>
    <t>Optional Items</t>
  </si>
  <si>
    <t>Required Item Total</t>
  </si>
  <si>
    <t>Optional Item Total</t>
  </si>
  <si>
    <t>Grand Total</t>
  </si>
  <si>
    <t>Lease Size</t>
  </si>
  <si>
    <t>Acres</t>
  </si>
  <si>
    <t>Number Of Years Until Harvest Size</t>
  </si>
  <si>
    <t>Survival From Planting To Harvest</t>
  </si>
  <si>
    <t>$ Per 1000 Spat</t>
  </si>
  <si>
    <t xml:space="preserve">Average Yearly Fuel Cost </t>
  </si>
  <si>
    <t>$ Per Acre</t>
  </si>
  <si>
    <t>$ Per Hour</t>
  </si>
  <si>
    <t>$ Per Year</t>
  </si>
  <si>
    <t>Yearly Permit Fees</t>
  </si>
  <si>
    <t>Price For Half Shell Market</t>
  </si>
  <si>
    <t>$ Per Oyster</t>
  </si>
  <si>
    <t>Total Number Of Oysters Harvested Per Year</t>
  </si>
  <si>
    <t>Count Box</t>
  </si>
  <si>
    <t>Cost Of Retail Containers</t>
  </si>
  <si>
    <t>Per Container</t>
  </si>
  <si>
    <t>Total Oysters Harvested Per Acre</t>
  </si>
  <si>
    <t>Per Year</t>
  </si>
  <si>
    <t>Cost Per Unit</t>
  </si>
  <si>
    <t>Each</t>
  </si>
  <si>
    <t>Harvest Baskets</t>
  </si>
  <si>
    <t>$ Per Unit</t>
  </si>
  <si>
    <t>$ Per Oyster Harvested</t>
  </si>
  <si>
    <t>Percentage Of Total Cost</t>
  </si>
  <si>
    <t>Interest On Operating Loan</t>
  </si>
  <si>
    <t>Income Before Taxes</t>
  </si>
  <si>
    <t>Break Even Cost</t>
  </si>
  <si>
    <t>1000 Spat</t>
  </si>
  <si>
    <t>Boxes</t>
  </si>
  <si>
    <t>General Labor Rate</t>
  </si>
  <si>
    <t>Supervisory Labor Rate</t>
  </si>
  <si>
    <t>General Labor</t>
  </si>
  <si>
    <t>Supervisory Labor</t>
  </si>
  <si>
    <t>Repairs (4%)</t>
  </si>
  <si>
    <t>Required Insurance</t>
  </si>
  <si>
    <t>Optional Insurance (crop, vehicle, etc)</t>
  </si>
  <si>
    <t>Powerwasher</t>
  </si>
  <si>
    <t>Intital Capital Investment</t>
  </si>
  <si>
    <t>Total Seed Needed</t>
  </si>
  <si>
    <t>Seed</t>
  </si>
  <si>
    <t>Acres of lease harvested each year</t>
  </si>
  <si>
    <t>Assumptions</t>
  </si>
  <si>
    <t>Bottom Prep and Capital Cost</t>
  </si>
  <si>
    <t>Yearly Enterprise Budget</t>
  </si>
  <si>
    <t>Sensitivity Analysis</t>
  </si>
  <si>
    <t>Market Size Oysters Per Cage</t>
  </si>
  <si>
    <t>Culture Cages</t>
  </si>
  <si>
    <t>Total Cages Havested Per Year</t>
  </si>
  <si>
    <t>Price Per Oyster</t>
  </si>
  <si>
    <t>Annual Production (Oysters)</t>
  </si>
  <si>
    <t>Cage Anchoring Equipment</t>
  </si>
  <si>
    <t>Crane/Hoist/Winch</t>
  </si>
  <si>
    <t xml:space="preserve">The purpose of this tool is to aid oyster farmers and potential oyster farmers in business planning. The tool provides the user with an educated understanding of expenses and revenues to help increase the likelihood of business success. Being able to accurately determine cost and return in business allows you to plan to maximize potential profit and determine expenses, cash flow and other important aspects of management. In a business with as many risks as aquaculture this is a wise choice to begin your business planning. </t>
  </si>
  <si>
    <t>Operating Loan amount</t>
  </si>
  <si>
    <t>Purchase Price Of In-State Seed</t>
  </si>
  <si>
    <t>Percentage of Seed Purchased In-State</t>
  </si>
  <si>
    <t>In-State Seed</t>
  </si>
  <si>
    <t>Out-of-State Seed</t>
  </si>
  <si>
    <t>Dredge</t>
  </si>
  <si>
    <t>Bottom Stabilization Services</t>
  </si>
  <si>
    <t>Purchase Price Of Out-of-State Seed (price includes seed cost plus any costs related to inspection, transportation, regulations, etc.)</t>
  </si>
  <si>
    <t>Of Operating Loan Amount</t>
  </si>
  <si>
    <t>Upweller</t>
  </si>
  <si>
    <t>Annual Planting Rate</t>
  </si>
  <si>
    <t>Seed Per Acre</t>
  </si>
  <si>
    <t>market size oysters</t>
  </si>
  <si>
    <t># from each cage you expect to sell at market size</t>
  </si>
  <si>
    <t>% Per Year</t>
  </si>
  <si>
    <t>Initial Land Investment</t>
  </si>
  <si>
    <t>Land rent</t>
  </si>
  <si>
    <t>$ Per Month</t>
  </si>
  <si>
    <t>Shellfish Farming/Water Column Lease Rent</t>
  </si>
  <si>
    <t>Down Payment on Land</t>
  </si>
  <si>
    <t>If you do not own, but plan to rent, the land/dock/land based facilities needed for your business, enter your monthly rent cost here</t>
  </si>
  <si>
    <t>Monthly Land Rent</t>
  </si>
  <si>
    <t>If you plan to buy the land/dock/land based facilities needed for your business, enter the down payment amount here</t>
  </si>
  <si>
    <t>Trailer</t>
  </si>
  <si>
    <t>Forklift</t>
  </si>
  <si>
    <t>Overhead (e.g. phone/internet services, office supplies, utilities, site maintenance, reg fees, etc.)</t>
  </si>
  <si>
    <t>Average Price Per Oyster</t>
  </si>
  <si>
    <t>Effects of Average Price and Annual Yield* on Pre-tax Income</t>
  </si>
  <si>
    <t>Of Variable Costs</t>
  </si>
  <si>
    <t>Other - fill in as needed</t>
  </si>
  <si>
    <t>Does not include business owner(s)</t>
  </si>
  <si>
    <t>Number of General Laborers</t>
  </si>
  <si>
    <t>Number of Supervisory Laborers</t>
  </si>
  <si>
    <t>Average Labor Hours Per Week per general laborer</t>
  </si>
  <si>
    <t>Average Labor Weeks Per Year per general laborer</t>
  </si>
  <si>
    <t>Average Labor Hours Per Week per supervisory laborer</t>
  </si>
  <si>
    <t>Average Labor Weeks Per Year  per supervisory laborer</t>
  </si>
  <si>
    <t>Single Oyster Markets</t>
  </si>
  <si>
    <t>Oysters</t>
  </si>
  <si>
    <t>Average Survival Rate</t>
  </si>
  <si>
    <t>*Yield difference based on survival rate with production costs remaining constant.</t>
  </si>
  <si>
    <t>10 Year Internal Rate of Return*</t>
  </si>
  <si>
    <t>*Based on constant production and expenses</t>
  </si>
  <si>
    <t>Variable Costs</t>
  </si>
  <si>
    <t>Total Fixed Costs</t>
  </si>
  <si>
    <t>Monthly Mortgage Payment - Principal</t>
  </si>
  <si>
    <t>Monthly Mortgage Payment - Interest</t>
  </si>
  <si>
    <t>If you already own or plan to buy the land/dock/land based facilities needed for your business, enter your monthly mortgage PRINCIPAL payment here</t>
  </si>
  <si>
    <t>If you already own or plan to buy the land/dock/land based facilities needed for your business, enter your monthly mortgage INTEREST payment here</t>
  </si>
  <si>
    <t>Mortgage Interest</t>
  </si>
  <si>
    <t>Adding back in Depreciation</t>
  </si>
  <si>
    <t>Net Cash Position</t>
  </si>
  <si>
    <t>Minus Mortgage Principal Payments - Annual total</t>
  </si>
  <si>
    <t>Minus Operating Loan Principal Payments - Annual total</t>
  </si>
  <si>
    <t>Yearly Income Analysis</t>
  </si>
  <si>
    <t>Break Even Analysis - Based on Income Before Taxes</t>
  </si>
  <si>
    <t>*Estimated earnings before taxes and owner pay (i.e. your return before you pay yourself)</t>
  </si>
  <si>
    <t>*Assumes inflation of revenue and expenses is equal</t>
  </si>
  <si>
    <t>Minus estimated taxes (25%)</t>
  </si>
  <si>
    <t>Discounted Rate of Return</t>
  </si>
  <si>
    <t xml:space="preserve">10 Year Net Present Value </t>
  </si>
  <si>
    <t>Yearly Net Income Before Taxes</t>
  </si>
  <si>
    <t>Aggregate Income Before Taxes</t>
  </si>
  <si>
    <t>Estimated After-Tax Income</t>
  </si>
  <si>
    <t>If you are not making payments (i.e., mortgage or rent), or if you already own the land/dock/land-based facilities needed for your business, please enter zeros in all of the cells and continue to the Assumptions Sheet.</t>
  </si>
  <si>
    <t>If you do not plan to buy land/dock/land based facilities, leave this cell as $0.00</t>
  </si>
  <si>
    <t>If you do not need to rent land/dock/land based facilities, leave this cell as $0.00</t>
  </si>
  <si>
    <t>Enter Data Here</t>
  </si>
  <si>
    <t>Resources Needed Per Year</t>
  </si>
  <si>
    <t>Objective Assumption</t>
  </si>
  <si>
    <t>About the Tool</t>
  </si>
  <si>
    <t>The tool was adapted from a simlar oyster farm business planning tool developed by the University of Maryland Extension Program (Parker, Dill, Webster, and Meritt; 2016)</t>
  </si>
  <si>
    <t>What This Tool Does</t>
  </si>
  <si>
    <t>This spreadsheet will give you the opportunity to do “what if” scenarios when planning your business. As you gain more accurate figures from the operation of your business it will be a valuable tool to track and make better projections for fine tuning it.</t>
  </si>
  <si>
    <t>Disclaimer</t>
  </si>
  <si>
    <t>This tool is hosted by the S.C. Sea Grant Consoritum. See our website for more information: www.scseagrant.org/aquaculture-toolkit.</t>
  </si>
  <si>
    <t>If there is any personal use, input less than 100%</t>
  </si>
  <si>
    <t>Depreciation Total</t>
  </si>
  <si>
    <t>Years of Useful Life</t>
  </si>
  <si>
    <t>Mesh Envelopes Inside Cages</t>
  </si>
  <si>
    <t>Ice Machine</t>
  </si>
  <si>
    <t>Anti-Predation Materials</t>
  </si>
  <si>
    <t>Percentage of Time Devoted to Aquaculture</t>
  </si>
  <si>
    <t>Harvest Begins in Year</t>
  </si>
  <si>
    <t>Income Greater than Expenses?</t>
  </si>
  <si>
    <t>Discount Rate/Cost of capital</t>
  </si>
  <si>
    <t>Marketable oysters are harvested in year:</t>
  </si>
  <si>
    <t>Projected Harvest (Single Oysters)</t>
  </si>
  <si>
    <t>Anyone contemplating an investment in shellfish culture is encouraged to speak to licensed professionals such as attorneys, accountants, and tax professionals to determine the suitability of shellfish culture as an appropriate business investment. The use of this spreadsheet does not guarantee any specific returns or profitability for your business.</t>
  </si>
  <si>
    <t>Input Good Data for Good Results</t>
  </si>
  <si>
    <t>Make sure your data is:</t>
  </si>
  <si>
    <r>
      <rPr>
        <b/>
        <sz val="12"/>
        <color theme="1"/>
        <rFont val="Calibri"/>
        <family val="2"/>
        <scheme val="minor"/>
      </rPr>
      <t xml:space="preserve">Accurate </t>
    </r>
    <r>
      <rPr>
        <sz val="12"/>
        <color theme="1"/>
        <rFont val="Calibri"/>
        <family val="2"/>
        <scheme val="minor"/>
      </rPr>
      <t xml:space="preserve">– gather numbers based on real costs and output. Search the price of equipment through published or web-based sources, actual vendors or from discussions with other producers. The more accurate the information, the better the resulting calculations will be. </t>
    </r>
  </si>
  <si>
    <r>
      <rPr>
        <b/>
        <sz val="12"/>
        <color theme="1"/>
        <rFont val="Calibri"/>
        <family val="2"/>
        <scheme val="minor"/>
      </rPr>
      <t>Conservative</t>
    </r>
    <r>
      <rPr>
        <sz val="12"/>
        <color theme="1"/>
        <rFont val="Calibri"/>
        <family val="2"/>
        <scheme val="minor"/>
      </rPr>
      <t xml:space="preserve"> – especially in estimating production and sales until you have the experience to justify more aggressive data. Don’t overestimate your production or sales until you know the numbers will be correct. </t>
    </r>
  </si>
  <si>
    <r>
      <rPr>
        <b/>
        <sz val="12"/>
        <color theme="1"/>
        <rFont val="Calibri"/>
        <family val="2"/>
        <scheme val="minor"/>
      </rPr>
      <t>Realistic</t>
    </r>
    <r>
      <rPr>
        <sz val="12"/>
        <color theme="1"/>
        <rFont val="Calibri"/>
        <family val="2"/>
        <scheme val="minor"/>
      </rPr>
      <t xml:space="preserve"> – constantly challenge yourself to collect data that can lead to more precise outcomes. As you gain experience you will find the accuracy of this tool increases and becomes more valuable in managing your business and it will allow you to better evaluate your current operations and make decisions to constantly make it better.</t>
    </r>
  </si>
  <si>
    <t>Where to Input Data</t>
  </si>
  <si>
    <t>How the Tool is Organized</t>
  </si>
  <si>
    <t>Land Expense</t>
  </si>
  <si>
    <t>Each section is on a separate tab. Use the navigation at the bottom of the screen to move between tabs.</t>
  </si>
  <si>
    <t>This sheet shows estimated costs and returns once full harvests begin. These are calculations only, do not enter data here.</t>
  </si>
  <si>
    <t>Thank you for using the Oyster Farming Business Planning Tool. For more information, please contact the S.C. Sea Grant Consortium's Living Marine Resources Program:</t>
  </si>
  <si>
    <t>www.scseagrant.org/living-marine-resources-program</t>
  </si>
  <si>
    <t>Cages Per Acre</t>
  </si>
  <si>
    <t>Total Number of Cages</t>
  </si>
  <si>
    <r>
      <t xml:space="preserve">Add your data in the circled areas marked "Enter Data Here". Example data is provided in </t>
    </r>
    <r>
      <rPr>
        <b/>
        <sz val="12"/>
        <color rgb="FFC00000"/>
        <rFont val="Calibri (Body)_x0000_"/>
      </rPr>
      <t>red</t>
    </r>
    <r>
      <rPr>
        <sz val="12"/>
        <color theme="1"/>
        <rFont val="Calibri"/>
        <family val="2"/>
        <scheme val="minor"/>
      </rPr>
      <t>. Do not enter data in other areas or you may overwrite one of the calculations.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</si>
</sst>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000_);_(&quot;$&quot;* \(#,##0.000\);_(&quot;$&quot;* &quot;-&quot;??_);_(@_)"/>
    <numFmt numFmtId="167" formatCode="_(&quot;$&quot;* #,##0.0000_);_(&quot;$&quot;* \(#,##0.0000\);_(&quot;$&quot;* &quot;-&quot;??_);_(@_)"/>
    <numFmt numFmtId="168" formatCode="0.0%"/>
    <numFmt numFmtId="169" formatCode="&quot;$&quot;#,##0.00"/>
    <numFmt numFmtId="170" formatCode="0.0"/>
  </numFmts>
  <fonts count="32">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b/>
      <sz val="18"/>
      <color theme="1"/>
      <name val="Calibri"/>
      <family val="2"/>
      <scheme val="minor"/>
    </font>
    <font>
      <b/>
      <sz val="12"/>
      <color theme="1"/>
      <name val="Calibri"/>
      <family val="2"/>
      <scheme val="minor"/>
    </font>
    <font>
      <b/>
      <sz val="14"/>
      <color theme="1"/>
      <name val="Calibri"/>
      <family val="2"/>
      <scheme val="minor"/>
    </font>
    <font>
      <b/>
      <i/>
      <sz val="11"/>
      <color theme="1"/>
      <name val="Calibri"/>
      <family val="2"/>
      <scheme val="minor"/>
    </font>
    <font>
      <sz val="11"/>
      <color rgb="FFFF0000"/>
      <name val="Calibri"/>
      <family val="2"/>
      <scheme val="minor"/>
    </font>
    <font>
      <sz val="12"/>
      <color rgb="FFFF0000"/>
      <name val="Calibri"/>
      <family val="2"/>
      <scheme val="minor"/>
    </font>
    <font>
      <sz val="12"/>
      <name val="Calibri (Body)_x0000_"/>
    </font>
    <font>
      <u/>
      <sz val="12"/>
      <name val="Calibri"/>
      <family val="2"/>
      <scheme val="minor"/>
    </font>
    <font>
      <b/>
      <sz val="16"/>
      <color theme="1"/>
      <name val="Calibri"/>
      <family val="2"/>
      <scheme val="minor"/>
    </font>
    <font>
      <sz val="12"/>
      <color rgb="FFC00000"/>
      <name val="Calibri"/>
      <family val="2"/>
      <scheme val="minor"/>
    </font>
    <font>
      <sz val="12"/>
      <name val="Calibri"/>
      <family val="2"/>
      <scheme val="minor"/>
    </font>
    <font>
      <b/>
      <sz val="18"/>
      <color rgb="FF00505B"/>
      <name val="Calibri"/>
      <family val="2"/>
      <scheme val="minor"/>
    </font>
    <font>
      <sz val="14"/>
      <color theme="1"/>
      <name val="Calibri"/>
      <family val="2"/>
      <scheme val="minor"/>
    </font>
    <font>
      <b/>
      <sz val="18"/>
      <color rgb="FF00505B"/>
      <name val="Calibri (Body)_x0000_"/>
    </font>
    <font>
      <b/>
      <sz val="12"/>
      <name val="Calibri"/>
      <family val="2"/>
      <scheme val="minor"/>
    </font>
    <font>
      <b/>
      <sz val="12"/>
      <color theme="0"/>
      <name val="Calibri"/>
      <family val="2"/>
      <scheme val="minor"/>
    </font>
    <font>
      <u/>
      <sz val="11"/>
      <color theme="10"/>
      <name val="Calibri"/>
      <family val="2"/>
      <scheme val="minor"/>
    </font>
    <font>
      <u/>
      <sz val="11"/>
      <color rgb="FF00738E"/>
      <name val="Calibri"/>
      <family val="2"/>
      <scheme val="minor"/>
    </font>
    <font>
      <b/>
      <sz val="12"/>
      <color rgb="FFC00000"/>
      <name val="Calibri (Body)_x0000_"/>
    </font>
  </fonts>
  <fills count="10">
    <fill>
      <patternFill patternType="none"/>
    </fill>
    <fill>
      <patternFill patternType="gray125"/>
    </fill>
    <fill>
      <patternFill patternType="solid">
        <fgColor rgb="FFFFFF00"/>
        <bgColor indexed="64"/>
      </patternFill>
    </fill>
    <fill>
      <patternFill patternType="solid">
        <fgColor rgb="FF7030A0"/>
        <bgColor indexed="64"/>
      </patternFill>
    </fill>
    <fill>
      <patternFill patternType="solid">
        <fgColor rgb="FF00B050"/>
        <bgColor indexed="64"/>
      </patternFill>
    </fill>
    <fill>
      <patternFill patternType="solid">
        <fgColor rgb="FF00B0F0"/>
        <bgColor indexed="64"/>
      </patternFill>
    </fill>
    <fill>
      <patternFill patternType="solid">
        <fgColor rgb="FFFF0000"/>
        <bgColor indexed="64"/>
      </patternFill>
    </fill>
    <fill>
      <patternFill patternType="solid">
        <fgColor theme="9" tint="-0.499984740745262"/>
        <bgColor indexed="64"/>
      </patternFill>
    </fill>
    <fill>
      <patternFill patternType="solid">
        <fgColor theme="0"/>
        <bgColor indexed="64"/>
      </patternFill>
    </fill>
    <fill>
      <patternFill patternType="solid">
        <fgColor rgb="FF92D05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top/>
      <bottom style="hair">
        <color indexed="64"/>
      </bottom>
      <diagonal/>
    </border>
    <border>
      <left/>
      <right/>
      <top style="thin">
        <color theme="0" tint="-0.499984740745262"/>
      </top>
      <bottom/>
      <diagonal/>
    </border>
    <border>
      <left/>
      <right/>
      <top style="hair">
        <color indexed="64"/>
      </top>
      <bottom style="hair">
        <color indexed="64"/>
      </bottom>
      <diagonal/>
    </border>
    <border>
      <left/>
      <right/>
      <top style="hair">
        <color indexed="64"/>
      </top>
      <bottom/>
      <diagonal/>
    </border>
    <border>
      <left style="medium">
        <color theme="0" tint="-0.499984740745262"/>
      </left>
      <right style="thin">
        <color indexed="64"/>
      </right>
      <top style="medium">
        <color theme="0" tint="-0.499984740745262"/>
      </top>
      <bottom/>
      <diagonal/>
    </border>
    <border>
      <left style="thin">
        <color indexed="64"/>
      </left>
      <right/>
      <top style="medium">
        <color theme="0" tint="-0.499984740745262"/>
      </top>
      <bottom style="thin">
        <color indexed="64"/>
      </bottom>
      <diagonal/>
    </border>
    <border>
      <left/>
      <right/>
      <top style="medium">
        <color theme="0" tint="-0.499984740745262"/>
      </top>
      <bottom style="thin">
        <color indexed="64"/>
      </bottom>
      <diagonal/>
    </border>
    <border>
      <left/>
      <right style="medium">
        <color theme="0" tint="-0.499984740745262"/>
      </right>
      <top style="medium">
        <color theme="0" tint="-0.499984740745262"/>
      </top>
      <bottom style="thin">
        <color indexed="64"/>
      </bottom>
      <diagonal/>
    </border>
    <border>
      <left style="medium">
        <color theme="0" tint="-0.499984740745262"/>
      </left>
      <right style="thin">
        <color indexed="64"/>
      </right>
      <top/>
      <bottom/>
      <diagonal/>
    </border>
    <border>
      <left style="thin">
        <color indexed="64"/>
      </left>
      <right style="medium">
        <color theme="0" tint="-0.499984740745262"/>
      </right>
      <top style="thin">
        <color indexed="64"/>
      </top>
      <bottom style="thin">
        <color indexed="64"/>
      </bottom>
      <diagonal/>
    </border>
    <border>
      <left/>
      <right style="medium">
        <color theme="0" tint="-0.499984740745262"/>
      </right>
      <top style="thin">
        <color indexed="64"/>
      </top>
      <bottom style="thin">
        <color indexed="64"/>
      </bottom>
      <diagonal/>
    </border>
    <border>
      <left style="medium">
        <color theme="0" tint="-0.499984740745262"/>
      </left>
      <right style="thin">
        <color indexed="64"/>
      </right>
      <top/>
      <bottom style="thin">
        <color indexed="64"/>
      </bottom>
      <diagonal/>
    </border>
    <border>
      <left style="medium">
        <color theme="0" tint="-0.499984740745262"/>
      </left>
      <right style="thin">
        <color indexed="64"/>
      </right>
      <top style="thin">
        <color indexed="64"/>
      </top>
      <bottom style="thin">
        <color indexed="64"/>
      </bottom>
      <diagonal/>
    </border>
    <border>
      <left style="medium">
        <color theme="0" tint="-0.499984740745262"/>
      </left>
      <right style="thin">
        <color indexed="64"/>
      </right>
      <top style="thin">
        <color indexed="64"/>
      </top>
      <bottom style="medium">
        <color theme="0" tint="-0.499984740745262"/>
      </bottom>
      <diagonal/>
    </border>
    <border>
      <left style="thin">
        <color indexed="64"/>
      </left>
      <right style="thin">
        <color indexed="64"/>
      </right>
      <top style="thin">
        <color indexed="64"/>
      </top>
      <bottom style="medium">
        <color theme="0" tint="-0.499984740745262"/>
      </bottom>
      <diagonal/>
    </border>
    <border>
      <left style="thin">
        <color indexed="64"/>
      </left>
      <right style="medium">
        <color theme="0" tint="-0.499984740745262"/>
      </right>
      <top style="thin">
        <color indexed="64"/>
      </top>
      <bottom style="medium">
        <color theme="0" tint="-0.499984740745262"/>
      </bottom>
      <diagonal/>
    </border>
  </borders>
  <cellStyleXfs count="5">
    <xf numFmtId="0" fontId="0"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29" fillId="0" borderId="0" applyNumberFormat="0" applyFill="0" applyBorder="0" applyAlignment="0" applyProtection="0"/>
  </cellStyleXfs>
  <cellXfs count="303">
    <xf numFmtId="0" fontId="0" fillId="0" borderId="0" xfId="0"/>
    <xf numFmtId="164" fontId="0" fillId="0" borderId="0" xfId="2" applyNumberFormat="1" applyFont="1"/>
    <xf numFmtId="164" fontId="0" fillId="0" borderId="0" xfId="0" applyNumberFormat="1"/>
    <xf numFmtId="44" fontId="0" fillId="0" borderId="0" xfId="0" applyNumberFormat="1"/>
    <xf numFmtId="0" fontId="10" fillId="0" borderId="0" xfId="0" applyFont="1"/>
    <xf numFmtId="0" fontId="11" fillId="0" borderId="0" xfId="0" applyFont="1"/>
    <xf numFmtId="0" fontId="0" fillId="0" borderId="0" xfId="0" applyAlignment="1">
      <alignment wrapText="1"/>
    </xf>
    <xf numFmtId="0" fontId="0" fillId="0" borderId="0" xfId="0" applyAlignment="1">
      <alignment horizontal="center"/>
    </xf>
    <xf numFmtId="164" fontId="0" fillId="0" borderId="0" xfId="2" applyNumberFormat="1" applyFont="1" applyBorder="1"/>
    <xf numFmtId="0" fontId="12" fillId="0" borderId="0" xfId="0" applyFont="1"/>
    <xf numFmtId="0" fontId="10" fillId="0" borderId="0" xfId="0" applyFont="1" applyAlignment="1">
      <alignment horizontal="center"/>
    </xf>
    <xf numFmtId="9" fontId="0" fillId="0" borderId="0" xfId="3" applyFont="1" applyBorder="1" applyAlignment="1">
      <alignment horizontal="center"/>
    </xf>
    <xf numFmtId="164" fontId="0" fillId="0" borderId="0" xfId="2" applyNumberFormat="1" applyFont="1" applyBorder="1" applyAlignment="1"/>
    <xf numFmtId="0" fontId="0" fillId="0" borderId="0" xfId="3" applyNumberFormat="1" applyFont="1" applyBorder="1" applyAlignment="1">
      <alignment horizontal="center"/>
    </xf>
    <xf numFmtId="164" fontId="0" fillId="0" borderId="1" xfId="2" applyNumberFormat="1" applyFont="1" applyBorder="1"/>
    <xf numFmtId="164" fontId="0" fillId="0" borderId="3" xfId="2" applyNumberFormat="1" applyFont="1" applyBorder="1"/>
    <xf numFmtId="164" fontId="0" fillId="0" borderId="4" xfId="2" applyNumberFormat="1" applyFont="1" applyBorder="1"/>
    <xf numFmtId="164" fontId="0" fillId="0" borderId="2" xfId="2" applyNumberFormat="1" applyFont="1" applyBorder="1"/>
    <xf numFmtId="164" fontId="0" fillId="0" borderId="5" xfId="2" applyNumberFormat="1" applyFont="1" applyBorder="1"/>
    <xf numFmtId="0" fontId="13" fillId="0" borderId="0" xfId="0" applyFont="1"/>
    <xf numFmtId="0" fontId="15" fillId="0" borderId="0" xfId="0" applyFont="1"/>
    <xf numFmtId="0" fontId="10" fillId="0" borderId="0" xfId="0" applyFont="1" applyAlignment="1">
      <alignment wrapText="1"/>
    </xf>
    <xf numFmtId="164" fontId="10" fillId="0" borderId="0" xfId="0" applyNumberFormat="1" applyFont="1"/>
    <xf numFmtId="9" fontId="10" fillId="0" borderId="0" xfId="0" applyNumberFormat="1" applyFont="1" applyAlignment="1">
      <alignment horizontal="center" wrapText="1"/>
    </xf>
    <xf numFmtId="0" fontId="17" fillId="0" borderId="0" xfId="0" applyFont="1"/>
    <xf numFmtId="3" fontId="10" fillId="0" borderId="1" xfId="0" applyNumberFormat="1" applyFont="1" applyBorder="1" applyAlignment="1">
      <alignment horizontal="center"/>
    </xf>
    <xf numFmtId="168" fontId="0" fillId="0" borderId="0" xfId="0" applyNumberFormat="1"/>
    <xf numFmtId="9" fontId="10" fillId="0" borderId="1" xfId="3" applyFont="1" applyBorder="1" applyAlignment="1">
      <alignment horizontal="center"/>
    </xf>
    <xf numFmtId="0" fontId="0" fillId="8" borderId="0" xfId="0" applyFill="1"/>
    <xf numFmtId="0" fontId="8" fillId="0" borderId="0" xfId="0" applyFont="1"/>
    <xf numFmtId="0" fontId="19" fillId="0" borderId="0" xfId="0" applyFont="1" applyAlignment="1">
      <alignment horizontal="left" wrapText="1"/>
    </xf>
    <xf numFmtId="0" fontId="20" fillId="0" borderId="0" xfId="0" applyFont="1" applyAlignment="1">
      <alignment horizontal="left" wrapText="1"/>
    </xf>
    <xf numFmtId="0" fontId="18" fillId="0" borderId="0" xfId="0" applyFont="1"/>
    <xf numFmtId="169" fontId="8" fillId="0" borderId="0" xfId="0" applyNumberFormat="1" applyFont="1" applyAlignment="1">
      <alignment horizontal="center" vertical="center"/>
    </xf>
    <xf numFmtId="0" fontId="8" fillId="0" borderId="0" xfId="0" applyFont="1" applyAlignment="1">
      <alignment wrapText="1"/>
    </xf>
    <xf numFmtId="0" fontId="8" fillId="0" borderId="0" xfId="0" applyFont="1" applyAlignment="1">
      <alignment vertical="center" wrapText="1"/>
    </xf>
    <xf numFmtId="0" fontId="7" fillId="0" borderId="7" xfId="0" applyFont="1" applyBorder="1" applyAlignment="1">
      <alignment vertical="center"/>
    </xf>
    <xf numFmtId="0" fontId="7" fillId="0" borderId="0" xfId="0" applyFont="1"/>
    <xf numFmtId="0" fontId="7" fillId="0" borderId="0" xfId="0" applyFont="1" applyAlignment="1">
      <alignment horizontal="center"/>
    </xf>
    <xf numFmtId="0" fontId="14" fillId="0" borderId="0" xfId="0" applyFont="1" applyAlignment="1">
      <alignment horizontal="right" vertical="center"/>
    </xf>
    <xf numFmtId="0" fontId="14" fillId="0" borderId="7" xfId="0" applyFont="1" applyBorder="1" applyAlignment="1">
      <alignment horizontal="right" vertical="center"/>
    </xf>
    <xf numFmtId="169" fontId="8" fillId="0" borderId="7" xfId="0" applyNumberFormat="1" applyFont="1" applyBorder="1" applyAlignment="1">
      <alignment horizontal="center" vertical="center"/>
    </xf>
    <xf numFmtId="0" fontId="14" fillId="0" borderId="0" xfId="0" applyFont="1"/>
    <xf numFmtId="0" fontId="6" fillId="0" borderId="0" xfId="0" applyFont="1"/>
    <xf numFmtId="0" fontId="6" fillId="0" borderId="0" xfId="0" applyFont="1" applyAlignment="1">
      <alignment wrapText="1"/>
    </xf>
    <xf numFmtId="0" fontId="6" fillId="0" borderId="0" xfId="0" applyFont="1" applyAlignment="1">
      <alignment vertical="center"/>
    </xf>
    <xf numFmtId="1" fontId="6" fillId="0" borderId="0" xfId="0" applyNumberFormat="1" applyFont="1"/>
    <xf numFmtId="0" fontId="6" fillId="0" borderId="0" xfId="0" applyFont="1" applyAlignment="1">
      <alignment vertical="center" wrapText="1"/>
    </xf>
    <xf numFmtId="3" fontId="6" fillId="0" borderId="0" xfId="0" applyNumberFormat="1" applyFont="1"/>
    <xf numFmtId="0" fontId="21" fillId="0" borderId="0" xfId="0" applyFont="1"/>
    <xf numFmtId="169" fontId="6" fillId="0" borderId="0" xfId="2" applyNumberFormat="1" applyFont="1" applyFill="1" applyBorder="1"/>
    <xf numFmtId="169" fontId="6" fillId="0" borderId="0" xfId="2" applyNumberFormat="1" applyFont="1" applyFill="1" applyBorder="1" applyAlignment="1">
      <alignment vertical="center"/>
    </xf>
    <xf numFmtId="165" fontId="6" fillId="0" borderId="0" xfId="1" applyNumberFormat="1" applyFont="1" applyFill="1" applyBorder="1"/>
    <xf numFmtId="0" fontId="11" fillId="0" borderId="0" xfId="0" applyFont="1" applyAlignment="1">
      <alignment horizontal="left" vertical="center" wrapText="1"/>
    </xf>
    <xf numFmtId="0" fontId="16" fillId="0" borderId="0" xfId="0" applyFont="1" applyAlignment="1">
      <alignment wrapText="1"/>
    </xf>
    <xf numFmtId="0" fontId="6" fillId="0" borderId="0" xfId="0" applyFont="1" applyAlignment="1">
      <alignment horizontal="center"/>
    </xf>
    <xf numFmtId="169" fontId="6" fillId="0" borderId="0" xfId="2" applyNumberFormat="1" applyFont="1" applyFill="1" applyBorder="1" applyAlignment="1">
      <alignment horizontal="center"/>
    </xf>
    <xf numFmtId="0" fontId="14" fillId="0" borderId="0" xfId="0" applyFont="1" applyAlignment="1">
      <alignment horizontal="right"/>
    </xf>
    <xf numFmtId="0" fontId="6" fillId="0" borderId="10" xfId="0"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applyAlignment="1">
      <alignment vertical="center"/>
    </xf>
    <xf numFmtId="3" fontId="6" fillId="0" borderId="7" xfId="0" applyNumberFormat="1" applyFont="1" applyBorder="1" applyAlignment="1">
      <alignment vertical="center"/>
    </xf>
    <xf numFmtId="0" fontId="6" fillId="0" borderId="7" xfId="0" applyFont="1" applyBorder="1" applyAlignment="1">
      <alignment vertical="center" wrapText="1"/>
    </xf>
    <xf numFmtId="3" fontId="6" fillId="0" borderId="10" xfId="0" applyNumberFormat="1" applyFont="1" applyBorder="1" applyAlignment="1">
      <alignment vertical="center"/>
    </xf>
    <xf numFmtId="0" fontId="14" fillId="0" borderId="9" xfId="0" applyFont="1" applyBorder="1" applyAlignment="1">
      <alignment horizontal="right" vertical="center"/>
    </xf>
    <xf numFmtId="0" fontId="6" fillId="0" borderId="9" xfId="0" applyFont="1" applyBorder="1" applyAlignment="1">
      <alignment vertical="center"/>
    </xf>
    <xf numFmtId="0" fontId="6" fillId="0" borderId="9" xfId="0" applyFont="1" applyBorder="1" applyAlignment="1">
      <alignment vertical="center" wrapText="1"/>
    </xf>
    <xf numFmtId="169" fontId="6" fillId="0" borderId="7" xfId="2" applyNumberFormat="1" applyFont="1" applyFill="1" applyBorder="1" applyAlignment="1">
      <alignment vertical="center"/>
    </xf>
    <xf numFmtId="0" fontId="6" fillId="0" borderId="10" xfId="0" applyFont="1" applyBorder="1" applyAlignment="1">
      <alignment horizontal="left" vertical="center" wrapText="1"/>
    </xf>
    <xf numFmtId="169" fontId="6" fillId="0" borderId="10" xfId="2" applyNumberFormat="1" applyFont="1" applyFill="1" applyBorder="1" applyAlignment="1">
      <alignment vertical="center"/>
    </xf>
    <xf numFmtId="0" fontId="6" fillId="0" borderId="0" xfId="0" applyFont="1" applyAlignment="1">
      <alignment horizontal="left" vertical="center" wrapText="1"/>
    </xf>
    <xf numFmtId="0" fontId="6" fillId="0" borderId="7" xfId="0" applyFont="1" applyBorder="1" applyAlignment="1">
      <alignment horizontal="left" vertical="center" wrapText="1"/>
    </xf>
    <xf numFmtId="3" fontId="22" fillId="0" borderId="7" xfId="0" applyNumberFormat="1" applyFont="1" applyBorder="1" applyAlignment="1">
      <alignment horizontal="center" vertical="center"/>
    </xf>
    <xf numFmtId="0" fontId="22" fillId="0" borderId="9" xfId="0" applyFont="1" applyBorder="1" applyAlignment="1">
      <alignment horizontal="center" vertical="center"/>
    </xf>
    <xf numFmtId="9" fontId="22" fillId="0" borderId="9" xfId="3" applyFont="1" applyFill="1" applyBorder="1" applyAlignment="1">
      <alignment horizontal="center" vertical="center"/>
    </xf>
    <xf numFmtId="169" fontId="22" fillId="0" borderId="9" xfId="0" applyNumberFormat="1" applyFont="1" applyBorder="1" applyAlignment="1">
      <alignment horizontal="center" vertical="center"/>
    </xf>
    <xf numFmtId="169" fontId="22" fillId="0" borderId="0" xfId="2" applyNumberFormat="1" applyFont="1" applyFill="1" applyBorder="1" applyAlignment="1">
      <alignment horizontal="center" vertical="center"/>
    </xf>
    <xf numFmtId="169" fontId="22" fillId="0" borderId="7" xfId="0" applyNumberFormat="1" applyFont="1" applyBorder="1" applyAlignment="1">
      <alignment horizontal="center" vertical="center"/>
    </xf>
    <xf numFmtId="0" fontId="14" fillId="0" borderId="10" xfId="0" applyFont="1" applyBorder="1" applyAlignment="1">
      <alignment horizontal="right" vertical="center"/>
    </xf>
    <xf numFmtId="0" fontId="22" fillId="0" borderId="10" xfId="0" applyFont="1" applyBorder="1" applyAlignment="1">
      <alignment horizontal="center" vertical="center"/>
    </xf>
    <xf numFmtId="0" fontId="22" fillId="0" borderId="7" xfId="0" applyFont="1" applyBorder="1" applyAlignment="1">
      <alignment horizontal="center" vertical="center"/>
    </xf>
    <xf numFmtId="170" fontId="22" fillId="0" borderId="9" xfId="0" applyNumberFormat="1" applyFont="1" applyBorder="1" applyAlignment="1">
      <alignment horizontal="center" vertical="center"/>
    </xf>
    <xf numFmtId="9" fontId="22" fillId="0" borderId="10" xfId="3" applyFont="1" applyFill="1" applyBorder="1" applyAlignment="1">
      <alignment horizontal="center" vertical="center"/>
    </xf>
    <xf numFmtId="9" fontId="22" fillId="0" borderId="7" xfId="3" applyFont="1" applyFill="1" applyBorder="1" applyAlignment="1">
      <alignment horizontal="center" vertical="center"/>
    </xf>
    <xf numFmtId="0" fontId="23" fillId="0" borderId="7" xfId="0" applyFont="1" applyBorder="1" applyAlignment="1">
      <alignment horizontal="left" vertical="center"/>
    </xf>
    <xf numFmtId="3" fontId="23" fillId="0" borderId="7" xfId="0" applyNumberFormat="1" applyFont="1" applyBorder="1" applyAlignment="1">
      <alignment horizontal="left" vertical="center"/>
    </xf>
    <xf numFmtId="3" fontId="23" fillId="0" borderId="10" xfId="0" applyNumberFormat="1" applyFont="1" applyBorder="1" applyAlignment="1">
      <alignment horizontal="left" vertical="center"/>
    </xf>
    <xf numFmtId="0" fontId="14" fillId="0" borderId="0" xfId="0" applyFont="1" applyAlignment="1">
      <alignment wrapText="1"/>
    </xf>
    <xf numFmtId="0" fontId="14" fillId="0" borderId="0" xfId="0" applyFont="1" applyAlignment="1">
      <alignment horizontal="center" wrapText="1"/>
    </xf>
    <xf numFmtId="164" fontId="5" fillId="0" borderId="0" xfId="2" applyNumberFormat="1" applyFont="1" applyFill="1" applyBorder="1"/>
    <xf numFmtId="164" fontId="5" fillId="0" borderId="0" xfId="2" applyNumberFormat="1" applyFont="1" applyBorder="1"/>
    <xf numFmtId="164" fontId="14" fillId="0" borderId="0" xfId="2" applyNumberFormat="1" applyFont="1"/>
    <xf numFmtId="0" fontId="5" fillId="0" borderId="0" xfId="0" applyFont="1"/>
    <xf numFmtId="164" fontId="14" fillId="0" borderId="0" xfId="0" applyNumberFormat="1" applyFont="1"/>
    <xf numFmtId="0" fontId="5" fillId="0" borderId="7" xfId="0" applyFont="1" applyBorder="1" applyAlignment="1">
      <alignment vertical="center"/>
    </xf>
    <xf numFmtId="164" fontId="5" fillId="0" borderId="7" xfId="2" applyNumberFormat="1" applyFont="1" applyFill="1" applyBorder="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164" fontId="5" fillId="0" borderId="0" xfId="2" applyNumberFormat="1" applyFont="1" applyFill="1" applyBorder="1" applyAlignment="1">
      <alignment horizontal="center" vertical="center"/>
    </xf>
    <xf numFmtId="0" fontId="5" fillId="0" borderId="10" xfId="0" applyFont="1" applyBorder="1" applyAlignment="1">
      <alignment vertical="center"/>
    </xf>
    <xf numFmtId="164" fontId="5" fillId="0" borderId="10" xfId="2" applyNumberFormat="1" applyFont="1" applyFill="1" applyBorder="1" applyAlignment="1">
      <alignment horizontal="center" vertical="center"/>
    </xf>
    <xf numFmtId="0" fontId="14" fillId="0" borderId="0" xfId="0" applyFont="1" applyAlignment="1">
      <alignment vertical="center"/>
    </xf>
    <xf numFmtId="164" fontId="15" fillId="0" borderId="0" xfId="2" applyNumberFormat="1" applyFont="1" applyBorder="1" applyAlignment="1">
      <alignment vertical="center"/>
    </xf>
    <xf numFmtId="164" fontId="22" fillId="0" borderId="7" xfId="2" applyNumberFormat="1" applyFont="1" applyFill="1" applyBorder="1" applyAlignment="1">
      <alignment horizontal="center" vertical="center"/>
    </xf>
    <xf numFmtId="164" fontId="22" fillId="0" borderId="10" xfId="2" applyNumberFormat="1" applyFont="1" applyFill="1" applyBorder="1" applyAlignment="1">
      <alignment horizontal="center" vertical="center"/>
    </xf>
    <xf numFmtId="0" fontId="22" fillId="0" borderId="0" xfId="0" applyFont="1" applyAlignment="1">
      <alignment horizontal="center" vertical="center"/>
    </xf>
    <xf numFmtId="164" fontId="22" fillId="0" borderId="0" xfId="2" applyNumberFormat="1" applyFont="1" applyFill="1" applyBorder="1" applyAlignment="1">
      <alignment horizontal="center" vertical="center"/>
    </xf>
    <xf numFmtId="164" fontId="5" fillId="0" borderId="10" xfId="2" applyNumberFormat="1" applyFont="1" applyBorder="1"/>
    <xf numFmtId="164" fontId="5" fillId="0" borderId="9" xfId="2" applyNumberFormat="1" applyFont="1" applyBorder="1"/>
    <xf numFmtId="0" fontId="21" fillId="0" borderId="0" xfId="0" applyFont="1" applyAlignment="1">
      <alignment horizontal="right" wrapText="1"/>
    </xf>
    <xf numFmtId="0" fontId="24" fillId="0" borderId="0" xfId="0" applyFont="1"/>
    <xf numFmtId="0" fontId="15" fillId="0" borderId="0" xfId="0" applyFont="1" applyAlignment="1">
      <alignment horizontal="right" vertical="center"/>
    </xf>
    <xf numFmtId="44" fontId="22" fillId="0" borderId="0" xfId="2" applyFont="1" applyFill="1" applyBorder="1" applyAlignment="1">
      <alignment horizontal="center" vertical="center"/>
    </xf>
    <xf numFmtId="9" fontId="22" fillId="0" borderId="0" xfId="3" applyFont="1" applyFill="1" applyBorder="1" applyAlignment="1">
      <alignment horizontal="center" vertical="center"/>
    </xf>
    <xf numFmtId="164" fontId="15" fillId="0" borderId="0" xfId="0" applyNumberFormat="1" applyFont="1"/>
    <xf numFmtId="0" fontId="14" fillId="0" borderId="8" xfId="0" applyFont="1" applyBorder="1"/>
    <xf numFmtId="164" fontId="15" fillId="0" borderId="8" xfId="0" applyNumberFormat="1" applyFont="1" applyBorder="1"/>
    <xf numFmtId="0" fontId="15" fillId="0" borderId="8" xfId="0" applyFont="1" applyBorder="1"/>
    <xf numFmtId="0" fontId="0" fillId="0" borderId="0" xfId="0" applyAlignment="1">
      <alignment horizontal="left" wrapText="1"/>
    </xf>
    <xf numFmtId="0" fontId="4" fillId="0" borderId="0" xfId="0" applyFont="1"/>
    <xf numFmtId="164" fontId="4" fillId="0" borderId="0" xfId="2" applyNumberFormat="1" applyFont="1"/>
    <xf numFmtId="10" fontId="14" fillId="0" borderId="0" xfId="0" applyNumberFormat="1" applyFont="1"/>
    <xf numFmtId="0" fontId="14" fillId="0" borderId="0" xfId="0" applyFont="1" applyAlignment="1">
      <alignment horizontal="center" vertical="center"/>
    </xf>
    <xf numFmtId="0" fontId="4" fillId="0" borderId="0" xfId="0" applyFont="1" applyAlignment="1">
      <alignment horizontal="center"/>
    </xf>
    <xf numFmtId="164" fontId="4" fillId="0" borderId="7" xfId="2" applyNumberFormat="1" applyFont="1" applyBorder="1" applyAlignment="1">
      <alignment horizontal="left" vertical="center"/>
    </xf>
    <xf numFmtId="164" fontId="4" fillId="0" borderId="9" xfId="2" applyNumberFormat="1" applyFont="1" applyBorder="1" applyAlignment="1">
      <alignment vertical="center"/>
    </xf>
    <xf numFmtId="0" fontId="4" fillId="0" borderId="0" xfId="0" applyFont="1" applyAlignment="1">
      <alignment horizontal="left" vertical="center"/>
    </xf>
    <xf numFmtId="0" fontId="4" fillId="0" borderId="7" xfId="0" applyFont="1" applyBorder="1" applyAlignment="1">
      <alignment vertical="center"/>
    </xf>
    <xf numFmtId="164" fontId="4" fillId="0" borderId="7" xfId="2" applyNumberFormat="1" applyFont="1" applyBorder="1" applyAlignment="1">
      <alignment vertical="center"/>
    </xf>
    <xf numFmtId="164" fontId="4" fillId="0" borderId="7" xfId="0" applyNumberFormat="1" applyFont="1" applyBorder="1" applyAlignment="1">
      <alignment vertical="center"/>
    </xf>
    <xf numFmtId="0" fontId="4" fillId="0" borderId="0" xfId="0" applyFont="1" applyAlignment="1">
      <alignment vertical="center"/>
    </xf>
    <xf numFmtId="164" fontId="4" fillId="0" borderId="0" xfId="2" applyNumberFormat="1" applyFont="1" applyAlignment="1">
      <alignment vertical="center"/>
    </xf>
    <xf numFmtId="164" fontId="4" fillId="0" borderId="0" xfId="0" applyNumberFormat="1" applyFont="1" applyAlignment="1">
      <alignment vertical="center"/>
    </xf>
    <xf numFmtId="0" fontId="14" fillId="0" borderId="0" xfId="0" applyFont="1" applyAlignment="1">
      <alignment horizontal="center" vertical="center" wrapText="1"/>
    </xf>
    <xf numFmtId="0" fontId="4" fillId="0" borderId="7" xfId="0" applyFont="1" applyBorder="1" applyAlignment="1">
      <alignment horizontal="center" vertical="center"/>
    </xf>
    <xf numFmtId="0" fontId="4" fillId="0" borderId="0" xfId="0" applyFont="1" applyAlignment="1">
      <alignment horizontal="center" vertical="center"/>
    </xf>
    <xf numFmtId="10" fontId="15" fillId="0" borderId="0" xfId="0" applyNumberFormat="1" applyFont="1"/>
    <xf numFmtId="0" fontId="25" fillId="0" borderId="0" xfId="0" applyFont="1"/>
    <xf numFmtId="0" fontId="25" fillId="0" borderId="0" xfId="0" applyFont="1" applyAlignment="1">
      <alignment horizontal="center"/>
    </xf>
    <xf numFmtId="9" fontId="15" fillId="0" borderId="0" xfId="3" applyFont="1"/>
    <xf numFmtId="10" fontId="15" fillId="0" borderId="0" xfId="3" applyNumberFormat="1" applyFont="1"/>
    <xf numFmtId="37" fontId="14" fillId="0" borderId="0" xfId="2" applyNumberFormat="1" applyFont="1" applyAlignment="1">
      <alignment horizontal="left"/>
    </xf>
    <xf numFmtId="0" fontId="14" fillId="0" borderId="0" xfId="0" applyFont="1" applyAlignment="1">
      <alignment horizontal="center"/>
    </xf>
    <xf numFmtId="165" fontId="4" fillId="0" borderId="0" xfId="1" applyNumberFormat="1" applyFont="1" applyBorder="1" applyAlignment="1">
      <alignment horizontal="center"/>
    </xf>
    <xf numFmtId="0" fontId="4" fillId="0" borderId="0" xfId="0" applyFont="1" applyAlignment="1">
      <alignment horizontal="right"/>
    </xf>
    <xf numFmtId="44" fontId="4" fillId="0" borderId="0" xfId="0" applyNumberFormat="1" applyFont="1"/>
    <xf numFmtId="164" fontId="4" fillId="0" borderId="0" xfId="2" applyNumberFormat="1" applyFont="1" applyBorder="1"/>
    <xf numFmtId="164" fontId="14" fillId="0" borderId="0" xfId="2" applyNumberFormat="1" applyFont="1" applyBorder="1"/>
    <xf numFmtId="44" fontId="14" fillId="0" borderId="0" xfId="0" applyNumberFormat="1" applyFont="1"/>
    <xf numFmtId="164" fontId="15" fillId="0" borderId="0" xfId="2" applyNumberFormat="1" applyFont="1"/>
    <xf numFmtId="0" fontId="14" fillId="0" borderId="7" xfId="0" applyFont="1" applyBorder="1"/>
    <xf numFmtId="0" fontId="14" fillId="0" borderId="7" xfId="0" applyFont="1" applyBorder="1" applyAlignment="1">
      <alignment horizontal="center"/>
    </xf>
    <xf numFmtId="164" fontId="14" fillId="0" borderId="7" xfId="2" applyNumberFormat="1" applyFont="1" applyBorder="1" applyAlignment="1">
      <alignment horizontal="center"/>
    </xf>
    <xf numFmtId="0" fontId="4" fillId="0" borderId="9" xfId="0" applyFont="1" applyBorder="1" applyAlignment="1">
      <alignment vertical="center"/>
    </xf>
    <xf numFmtId="165" fontId="4" fillId="0" borderId="9" xfId="1" applyNumberFormat="1" applyFont="1" applyBorder="1" applyAlignment="1">
      <alignment horizontal="center" vertical="center"/>
    </xf>
    <xf numFmtId="0" fontId="4" fillId="0" borderId="9" xfId="0" applyFont="1" applyBorder="1" applyAlignment="1">
      <alignment horizontal="right" vertical="center"/>
    </xf>
    <xf numFmtId="44" fontId="4" fillId="0" borderId="9" xfId="0" applyNumberFormat="1" applyFont="1" applyBorder="1" applyAlignment="1">
      <alignment vertical="center"/>
    </xf>
    <xf numFmtId="0" fontId="15" fillId="0" borderId="0" xfId="0" applyFont="1" applyAlignment="1">
      <alignment horizontal="center"/>
    </xf>
    <xf numFmtId="0" fontId="15" fillId="0" borderId="0" xfId="0" applyFont="1" applyAlignment="1">
      <alignment horizontal="right"/>
    </xf>
    <xf numFmtId="164" fontId="15" fillId="0" borderId="0" xfId="2" applyNumberFormat="1" applyFont="1" applyBorder="1"/>
    <xf numFmtId="164" fontId="14" fillId="0" borderId="0" xfId="2" applyNumberFormat="1" applyFont="1" applyBorder="1" applyAlignment="1">
      <alignment wrapText="1"/>
    </xf>
    <xf numFmtId="166" fontId="14" fillId="0" borderId="0" xfId="0" applyNumberFormat="1" applyFont="1" applyAlignment="1">
      <alignment wrapText="1"/>
    </xf>
    <xf numFmtId="168" fontId="14" fillId="0" borderId="0" xfId="3" applyNumberFormat="1" applyFont="1" applyBorder="1" applyAlignment="1">
      <alignment horizontal="center" wrapText="1"/>
    </xf>
    <xf numFmtId="0" fontId="14" fillId="0" borderId="7" xfId="0" applyFont="1" applyBorder="1" applyAlignment="1">
      <alignment horizontal="center" vertical="center" wrapText="1"/>
    </xf>
    <xf numFmtId="164" fontId="14" fillId="0" borderId="7" xfId="2" applyNumberFormat="1" applyFont="1" applyBorder="1" applyAlignment="1">
      <alignment horizontal="center" vertical="center" wrapText="1"/>
    </xf>
    <xf numFmtId="0" fontId="4" fillId="0" borderId="0" xfId="0" applyFont="1" applyAlignment="1">
      <alignment vertical="center" wrapText="1"/>
    </xf>
    <xf numFmtId="44" fontId="4" fillId="0" borderId="0" xfId="2" applyFont="1" applyBorder="1" applyAlignment="1">
      <alignment vertical="center" wrapText="1"/>
    </xf>
    <xf numFmtId="166" fontId="4" fillId="0" borderId="0" xfId="0" applyNumberFormat="1" applyFont="1" applyAlignment="1">
      <alignment vertical="center" wrapText="1"/>
    </xf>
    <xf numFmtId="168" fontId="4" fillId="0" borderId="0" xfId="3" applyNumberFormat="1" applyFont="1" applyBorder="1" applyAlignment="1">
      <alignment horizontal="center" vertical="center" wrapText="1"/>
    </xf>
    <xf numFmtId="3" fontId="4" fillId="0" borderId="7" xfId="0" applyNumberFormat="1" applyFont="1" applyBorder="1" applyAlignment="1">
      <alignment horizontal="center" vertical="center" wrapText="1"/>
    </xf>
    <xf numFmtId="0" fontId="4" fillId="0" borderId="7" xfId="0" applyFont="1" applyBorder="1" applyAlignment="1">
      <alignment horizontal="right" vertical="center" wrapText="1"/>
    </xf>
    <xf numFmtId="44" fontId="4" fillId="0" borderId="7" xfId="2" applyFont="1" applyBorder="1" applyAlignment="1">
      <alignment vertical="center" wrapText="1"/>
    </xf>
    <xf numFmtId="164" fontId="4" fillId="0" borderId="7" xfId="2" applyNumberFormat="1" applyFont="1" applyBorder="1" applyAlignment="1">
      <alignment vertical="center" wrapText="1"/>
    </xf>
    <xf numFmtId="166" fontId="4" fillId="0" borderId="7" xfId="0" applyNumberFormat="1" applyFont="1" applyBorder="1" applyAlignment="1">
      <alignment vertical="center" wrapText="1"/>
    </xf>
    <xf numFmtId="168" fontId="4" fillId="0" borderId="7" xfId="3" applyNumberFormat="1" applyFont="1" applyBorder="1" applyAlignment="1">
      <alignment horizontal="center" vertical="center" wrapText="1"/>
    </xf>
    <xf numFmtId="0" fontId="4" fillId="0" borderId="7" xfId="0" applyFont="1" applyBorder="1" applyAlignment="1">
      <alignment horizontal="center" vertical="center" wrapText="1"/>
    </xf>
    <xf numFmtId="44" fontId="4" fillId="0" borderId="7" xfId="0" applyNumberFormat="1" applyFont="1" applyBorder="1" applyAlignment="1">
      <alignment vertical="center" wrapText="1"/>
    </xf>
    <xf numFmtId="0" fontId="4" fillId="0" borderId="9" xfId="0" applyFont="1" applyBorder="1" applyAlignment="1">
      <alignment vertical="center" wrapText="1"/>
    </xf>
    <xf numFmtId="0" fontId="4" fillId="0" borderId="9" xfId="0" applyFont="1" applyBorder="1" applyAlignment="1">
      <alignment horizontal="center" vertical="center" wrapText="1"/>
    </xf>
    <xf numFmtId="0" fontId="4" fillId="0" borderId="9" xfId="0" applyFont="1" applyBorder="1" applyAlignment="1">
      <alignment horizontal="right" vertical="center" wrapText="1"/>
    </xf>
    <xf numFmtId="44" fontId="4" fillId="0" borderId="9" xfId="2" applyFont="1" applyBorder="1" applyAlignment="1">
      <alignment vertical="center" wrapText="1"/>
    </xf>
    <xf numFmtId="164" fontId="4" fillId="0" borderId="9" xfId="2" applyNumberFormat="1" applyFont="1" applyBorder="1" applyAlignment="1">
      <alignment vertical="center" wrapText="1"/>
    </xf>
    <xf numFmtId="166" fontId="4" fillId="0" borderId="9" xfId="0" applyNumberFormat="1" applyFont="1" applyBorder="1" applyAlignment="1">
      <alignment vertical="center" wrapText="1"/>
    </xf>
    <xf numFmtId="168" fontId="4" fillId="0" borderId="9" xfId="3" applyNumberFormat="1" applyFont="1" applyBorder="1" applyAlignment="1">
      <alignment horizontal="center" vertical="center" wrapText="1"/>
    </xf>
    <xf numFmtId="44" fontId="4" fillId="0" borderId="9" xfId="2" applyFont="1" applyFill="1" applyBorder="1" applyAlignment="1">
      <alignment vertical="center" wrapText="1"/>
    </xf>
    <xf numFmtId="3" fontId="4" fillId="0" borderId="9" xfId="0" applyNumberFormat="1" applyFont="1" applyBorder="1" applyAlignment="1">
      <alignment horizontal="center" vertical="center" wrapText="1"/>
    </xf>
    <xf numFmtId="0" fontId="15" fillId="0" borderId="0" xfId="0" applyFont="1" applyAlignment="1">
      <alignment wrapText="1"/>
    </xf>
    <xf numFmtId="0" fontId="15" fillId="0" borderId="0" xfId="0" applyFont="1" applyAlignment="1">
      <alignment horizontal="center" wrapText="1"/>
    </xf>
    <xf numFmtId="164" fontId="15" fillId="0" borderId="0" xfId="2" applyNumberFormat="1" applyFont="1" applyBorder="1" applyAlignment="1">
      <alignment wrapText="1"/>
    </xf>
    <xf numFmtId="166" fontId="15" fillId="0" borderId="0" xfId="0" applyNumberFormat="1" applyFont="1" applyAlignment="1">
      <alignment wrapText="1"/>
    </xf>
    <xf numFmtId="168" fontId="15" fillId="0" borderId="0" xfId="3" applyNumberFormat="1" applyFont="1" applyBorder="1" applyAlignment="1">
      <alignment horizontal="center" wrapText="1"/>
    </xf>
    <xf numFmtId="0" fontId="4" fillId="0" borderId="0" xfId="0" applyFont="1" applyAlignment="1">
      <alignment horizontal="center" vertical="center" wrapText="1"/>
    </xf>
    <xf numFmtId="164" fontId="4" fillId="0" borderId="0" xfId="2" applyNumberFormat="1" applyFont="1" applyFill="1" applyBorder="1" applyAlignment="1">
      <alignment vertical="center" wrapText="1"/>
    </xf>
    <xf numFmtId="168" fontId="4" fillId="0" borderId="0" xfId="3" applyNumberFormat="1" applyFont="1" applyBorder="1" applyAlignment="1">
      <alignment horizontal="center"/>
    </xf>
    <xf numFmtId="0" fontId="4" fillId="0" borderId="9" xfId="0" applyFont="1" applyBorder="1" applyAlignment="1">
      <alignment horizontal="center" vertical="center"/>
    </xf>
    <xf numFmtId="0" fontId="14" fillId="0" borderId="7" xfId="0" applyFont="1" applyBorder="1" applyAlignment="1">
      <alignment horizontal="left" vertical="center" wrapText="1"/>
    </xf>
    <xf numFmtId="0" fontId="4" fillId="0" borderId="7" xfId="0" applyFont="1" applyBorder="1" applyAlignment="1">
      <alignment horizontal="left" vertical="center" wrapText="1" indent="1"/>
    </xf>
    <xf numFmtId="166" fontId="4" fillId="0" borderId="0" xfId="0" applyNumberFormat="1" applyFont="1"/>
    <xf numFmtId="167" fontId="14" fillId="0" borderId="0" xfId="0" applyNumberFormat="1" applyFont="1"/>
    <xf numFmtId="168" fontId="14" fillId="0" borderId="0" xfId="3" applyNumberFormat="1" applyFont="1" applyBorder="1" applyAlignment="1">
      <alignment horizontal="center"/>
    </xf>
    <xf numFmtId="0" fontId="15" fillId="0" borderId="7" xfId="0" applyFont="1" applyBorder="1" applyAlignment="1">
      <alignment vertical="center"/>
    </xf>
    <xf numFmtId="0" fontId="15" fillId="0" borderId="7" xfId="0" applyFont="1" applyBorder="1" applyAlignment="1">
      <alignment horizontal="center" vertical="center"/>
    </xf>
    <xf numFmtId="164" fontId="15" fillId="0" borderId="7" xfId="2" applyNumberFormat="1" applyFont="1" applyBorder="1" applyAlignment="1">
      <alignment vertical="center"/>
    </xf>
    <xf numFmtId="0" fontId="14" fillId="0" borderId="7" xfId="0" applyFont="1" applyBorder="1" applyAlignment="1">
      <alignment vertical="center"/>
    </xf>
    <xf numFmtId="166" fontId="15" fillId="0" borderId="0" xfId="0" applyNumberFormat="1" applyFont="1" applyAlignment="1">
      <alignment horizontal="center" vertical="center"/>
    </xf>
    <xf numFmtId="166" fontId="15" fillId="0" borderId="0" xfId="0" applyNumberFormat="1" applyFont="1" applyAlignment="1">
      <alignment vertical="center"/>
    </xf>
    <xf numFmtId="0" fontId="15" fillId="0" borderId="0" xfId="0" applyFont="1" applyAlignment="1">
      <alignment vertical="center" wrapText="1"/>
    </xf>
    <xf numFmtId="0" fontId="15" fillId="0" borderId="10" xfId="0" applyFont="1" applyBorder="1" applyAlignment="1">
      <alignment vertical="center"/>
    </xf>
    <xf numFmtId="0" fontId="15" fillId="0" borderId="10" xfId="0" applyFont="1" applyBorder="1" applyAlignment="1">
      <alignment horizontal="center" vertical="center"/>
    </xf>
    <xf numFmtId="164" fontId="15" fillId="0" borderId="10" xfId="2" applyNumberFormat="1" applyFont="1" applyBorder="1" applyAlignment="1">
      <alignment vertical="center"/>
    </xf>
    <xf numFmtId="167" fontId="15" fillId="0" borderId="10" xfId="0" applyNumberFormat="1" applyFont="1" applyBorder="1" applyAlignment="1">
      <alignment vertical="center"/>
    </xf>
    <xf numFmtId="168" fontId="15" fillId="0" borderId="10" xfId="3" applyNumberFormat="1" applyFont="1" applyBorder="1" applyAlignment="1">
      <alignment horizontal="center" vertical="center"/>
    </xf>
    <xf numFmtId="9" fontId="10" fillId="0" borderId="7" xfId="0" applyNumberFormat="1" applyFont="1" applyBorder="1" applyAlignment="1">
      <alignment horizontal="center" vertical="center" wrapText="1"/>
    </xf>
    <xf numFmtId="3" fontId="0" fillId="0" borderId="0" xfId="0" applyNumberFormat="1" applyAlignment="1">
      <alignment horizontal="center" vertical="center"/>
    </xf>
    <xf numFmtId="44" fontId="0" fillId="0" borderId="0" xfId="2" applyFont="1" applyBorder="1" applyAlignment="1">
      <alignment vertical="center"/>
    </xf>
    <xf numFmtId="0" fontId="24" fillId="0" borderId="0" xfId="0" applyFont="1" applyAlignment="1">
      <alignment horizontal="left"/>
    </xf>
    <xf numFmtId="9" fontId="10" fillId="0" borderId="16" xfId="3" applyFont="1" applyBorder="1" applyAlignment="1">
      <alignment horizontal="center"/>
    </xf>
    <xf numFmtId="3" fontId="10" fillId="0" borderId="16" xfId="0" applyNumberFormat="1" applyFont="1" applyBorder="1" applyAlignment="1">
      <alignment horizontal="center"/>
    </xf>
    <xf numFmtId="44" fontId="10" fillId="0" borderId="19" xfId="0" applyNumberFormat="1" applyFont="1" applyBorder="1"/>
    <xf numFmtId="164" fontId="0" fillId="0" borderId="16" xfId="2" applyNumberFormat="1" applyFont="1" applyBorder="1"/>
    <xf numFmtId="44" fontId="10" fillId="0" borderId="20" xfId="0" applyNumberFormat="1" applyFont="1" applyBorder="1"/>
    <xf numFmtId="164" fontId="0" fillId="0" borderId="21" xfId="2" applyNumberFormat="1" applyFont="1" applyBorder="1"/>
    <xf numFmtId="164" fontId="0" fillId="0" borderId="22" xfId="2" applyNumberFormat="1" applyFont="1" applyBorder="1"/>
    <xf numFmtId="0" fontId="0" fillId="0" borderId="0" xfId="0" applyAlignment="1">
      <alignment vertical="center"/>
    </xf>
    <xf numFmtId="0" fontId="4" fillId="0" borderId="0" xfId="0" applyFont="1" applyAlignment="1">
      <alignment horizontal="left" vertical="center" wrapText="1"/>
    </xf>
    <xf numFmtId="0" fontId="28" fillId="0" borderId="0" xfId="0" applyFont="1" applyAlignment="1">
      <alignment horizontal="center" vertical="center"/>
    </xf>
    <xf numFmtId="0" fontId="3" fillId="8" borderId="0" xfId="0" applyFont="1" applyFill="1" applyAlignment="1">
      <alignment horizontal="left" wrapText="1"/>
    </xf>
    <xf numFmtId="0" fontId="3" fillId="0" borderId="0" xfId="0" applyFont="1" applyAlignment="1">
      <alignment horizontal="left" wrapText="1"/>
    </xf>
    <xf numFmtId="0" fontId="3" fillId="0" borderId="0" xfId="0" applyFont="1" applyAlignment="1">
      <alignment wrapText="1"/>
    </xf>
    <xf numFmtId="0" fontId="3" fillId="8" borderId="0" xfId="0" applyFont="1" applyFill="1" applyAlignment="1">
      <alignment vertical="top" wrapText="1"/>
    </xf>
    <xf numFmtId="0" fontId="19" fillId="0" borderId="0" xfId="0" applyFont="1"/>
    <xf numFmtId="0" fontId="3" fillId="0" borderId="0" xfId="0" applyFont="1"/>
    <xf numFmtId="0" fontId="30" fillId="0" borderId="0" xfId="4" applyFont="1"/>
    <xf numFmtId="3" fontId="27" fillId="0" borderId="7" xfId="0" applyNumberFormat="1" applyFont="1" applyBorder="1" applyAlignment="1">
      <alignment horizontal="left" vertical="center"/>
    </xf>
    <xf numFmtId="164" fontId="0" fillId="9" borderId="1" xfId="2" applyNumberFormat="1" applyFont="1" applyFill="1" applyBorder="1"/>
    <xf numFmtId="0" fontId="1" fillId="0" borderId="0" xfId="0" applyFont="1" applyAlignment="1">
      <alignment horizontal="center"/>
    </xf>
    <xf numFmtId="0" fontId="16" fillId="0" borderId="0" xfId="0" applyFont="1" applyAlignment="1">
      <alignment horizontal="left" wrapText="1"/>
    </xf>
    <xf numFmtId="0" fontId="0" fillId="8" borderId="0" xfId="0" applyFill="1"/>
    <xf numFmtId="0" fontId="0" fillId="0" borderId="0" xfId="0"/>
    <xf numFmtId="0" fontId="24" fillId="0" borderId="0" xfId="0" applyFont="1" applyAlignment="1">
      <alignment vertical="center"/>
    </xf>
    <xf numFmtId="0" fontId="11" fillId="0" borderId="0" xfId="0" applyFont="1" applyAlignment="1">
      <alignment horizontal="left" vertical="center" wrapText="1"/>
    </xf>
    <xf numFmtId="0" fontId="0" fillId="0" borderId="0" xfId="0" applyAlignment="1">
      <alignment horizontal="left" vertical="center" wrapText="1"/>
    </xf>
    <xf numFmtId="0" fontId="28" fillId="6" borderId="0" xfId="0" applyFont="1" applyFill="1" applyAlignment="1">
      <alignment horizontal="center" vertical="center"/>
    </xf>
    <xf numFmtId="0" fontId="28" fillId="3" borderId="0" xfId="0" applyFont="1" applyFill="1" applyAlignment="1">
      <alignment horizontal="center" vertical="center"/>
    </xf>
    <xf numFmtId="0" fontId="26" fillId="0" borderId="0" xfId="0" applyFont="1" applyAlignment="1">
      <alignment horizontal="left"/>
    </xf>
    <xf numFmtId="0" fontId="26" fillId="0" borderId="0" xfId="0" applyFont="1"/>
    <xf numFmtId="0" fontId="28" fillId="7" borderId="0" xfId="0" applyFont="1" applyFill="1" applyAlignment="1">
      <alignment horizontal="center" vertical="center"/>
    </xf>
    <xf numFmtId="0" fontId="2" fillId="0" borderId="0" xfId="0" applyFont="1" applyAlignment="1">
      <alignment vertical="center" wrapText="1"/>
    </xf>
    <xf numFmtId="0" fontId="4" fillId="0" borderId="0" xfId="0" applyFont="1" applyAlignment="1">
      <alignment vertical="center" wrapText="1"/>
    </xf>
    <xf numFmtId="0" fontId="27" fillId="0" borderId="0" xfId="0" applyFont="1" applyAlignment="1">
      <alignment vertical="center"/>
    </xf>
    <xf numFmtId="0" fontId="14" fillId="2" borderId="0" xfId="0" applyFont="1" applyFill="1" applyAlignment="1">
      <alignment horizontal="center" vertical="center"/>
    </xf>
    <xf numFmtId="0" fontId="14" fillId="5" borderId="0" xfId="0" applyFont="1" applyFill="1" applyAlignment="1">
      <alignment horizontal="center" vertical="center"/>
    </xf>
    <xf numFmtId="0" fontId="14" fillId="4" borderId="0" xfId="0" applyFont="1" applyFill="1" applyAlignment="1">
      <alignment horizontal="center" vertical="center"/>
    </xf>
    <xf numFmtId="0" fontId="13" fillId="0" borderId="0" xfId="0" applyFont="1" applyAlignment="1">
      <alignment horizontal="left" vertical="center"/>
    </xf>
    <xf numFmtId="0" fontId="19" fillId="0" borderId="0" xfId="0" applyFont="1" applyAlignment="1">
      <alignment horizontal="left" wrapText="1"/>
    </xf>
    <xf numFmtId="0" fontId="20" fillId="0" borderId="0" xfId="0" applyFont="1" applyAlignment="1">
      <alignment horizontal="left" wrapText="1"/>
    </xf>
    <xf numFmtId="0" fontId="14" fillId="0" borderId="0" xfId="0" applyFont="1" applyAlignment="1">
      <alignment horizontal="right" vertical="center"/>
    </xf>
    <xf numFmtId="0" fontId="14" fillId="0" borderId="7" xfId="0" applyFont="1" applyBorder="1" applyAlignment="1">
      <alignment horizontal="right" vertical="center"/>
    </xf>
    <xf numFmtId="0" fontId="14" fillId="0" borderId="0" xfId="0" applyFont="1" applyAlignment="1">
      <alignment horizontal="right" vertical="center" wrapText="1"/>
    </xf>
    <xf numFmtId="0" fontId="14" fillId="0" borderId="7" xfId="0" applyFont="1" applyBorder="1" applyAlignment="1">
      <alignment horizontal="right" vertical="center" wrapText="1"/>
    </xf>
    <xf numFmtId="169" fontId="22" fillId="0" borderId="0" xfId="0" applyNumberFormat="1" applyFont="1" applyAlignment="1">
      <alignment horizontal="center" vertical="center"/>
    </xf>
    <xf numFmtId="169" fontId="22" fillId="0" borderId="7" xfId="0" applyNumberFormat="1" applyFont="1" applyBorder="1" applyAlignment="1">
      <alignment horizontal="center" vertical="center"/>
    </xf>
    <xf numFmtId="0" fontId="6" fillId="0" borderId="10" xfId="0" applyFont="1" applyBorder="1" applyAlignment="1">
      <alignment vertical="center" wrapText="1"/>
    </xf>
    <xf numFmtId="0" fontId="6" fillId="0" borderId="7" xfId="0" applyFont="1" applyBorder="1" applyAlignment="1">
      <alignment vertical="center" wrapText="1"/>
    </xf>
    <xf numFmtId="9" fontId="6" fillId="0" borderId="10" xfId="3" applyFont="1" applyFill="1" applyBorder="1"/>
    <xf numFmtId="9" fontId="6" fillId="0" borderId="7" xfId="3" applyFont="1" applyFill="1" applyBorder="1"/>
    <xf numFmtId="0" fontId="6" fillId="0" borderId="10" xfId="0" applyFont="1" applyBorder="1" applyAlignment="1">
      <alignment vertical="center"/>
    </xf>
    <xf numFmtId="0" fontId="6" fillId="0" borderId="7" xfId="0" applyFont="1" applyBorder="1" applyAlignment="1">
      <alignment vertical="center"/>
    </xf>
    <xf numFmtId="0" fontId="13" fillId="0" borderId="0" xfId="0" applyFont="1" applyAlignment="1">
      <alignment horizontal="center"/>
    </xf>
    <xf numFmtId="0" fontId="14" fillId="0" borderId="10" xfId="0" applyFont="1" applyBorder="1" applyAlignment="1">
      <alignment horizontal="right" vertical="center" wrapText="1"/>
    </xf>
    <xf numFmtId="0" fontId="14" fillId="0" borderId="10" xfId="0" applyFont="1" applyBorder="1" applyAlignment="1">
      <alignment horizontal="right" vertical="center"/>
    </xf>
    <xf numFmtId="0" fontId="6" fillId="0" borderId="10" xfId="0" applyFont="1" applyBorder="1" applyAlignment="1">
      <alignment horizontal="left" vertical="center" wrapText="1"/>
    </xf>
    <xf numFmtId="0" fontId="6" fillId="0" borderId="7" xfId="0" applyFont="1" applyBorder="1" applyAlignment="1">
      <alignment horizontal="left" vertical="center" wrapText="1"/>
    </xf>
    <xf numFmtId="0" fontId="22" fillId="0" borderId="10" xfId="0" applyFont="1" applyBorder="1" applyAlignment="1">
      <alignment horizontal="center" vertical="center"/>
    </xf>
    <xf numFmtId="0" fontId="22" fillId="0" borderId="7" xfId="0" applyFont="1" applyBorder="1" applyAlignment="1">
      <alignment horizontal="center" vertical="center"/>
    </xf>
    <xf numFmtId="169" fontId="22" fillId="0" borderId="10" xfId="2" applyNumberFormat="1" applyFont="1" applyFill="1" applyBorder="1" applyAlignment="1">
      <alignment horizontal="center" vertical="center"/>
    </xf>
    <xf numFmtId="169" fontId="22" fillId="0" borderId="0" xfId="2" applyNumberFormat="1" applyFont="1" applyFill="1" applyBorder="1" applyAlignment="1">
      <alignment horizontal="center" vertical="center"/>
    </xf>
    <xf numFmtId="169" fontId="22" fillId="0" borderId="7" xfId="2" applyNumberFormat="1" applyFont="1" applyFill="1" applyBorder="1" applyAlignment="1">
      <alignment horizontal="center" vertical="center"/>
    </xf>
    <xf numFmtId="0" fontId="6" fillId="0" borderId="0" xfId="0" applyFont="1" applyAlignment="1">
      <alignment horizontal="left" vertical="center" wrapText="1"/>
    </xf>
    <xf numFmtId="0" fontId="24" fillId="0" borderId="0" xfId="0" applyFont="1"/>
    <xf numFmtId="9" fontId="22" fillId="0" borderId="10" xfId="3" applyFont="1" applyFill="1" applyBorder="1" applyAlignment="1">
      <alignment horizontal="center" vertical="center"/>
    </xf>
    <xf numFmtId="9" fontId="22" fillId="0" borderId="7" xfId="3" applyFont="1" applyFill="1" applyBorder="1" applyAlignment="1">
      <alignment horizontal="center" vertical="center"/>
    </xf>
    <xf numFmtId="0" fontId="15" fillId="0" borderId="0" xfId="0" applyFont="1" applyAlignment="1">
      <alignment horizontal="right" vertical="center"/>
    </xf>
    <xf numFmtId="0" fontId="15" fillId="0" borderId="8" xfId="0" applyFont="1" applyBorder="1" applyAlignment="1">
      <alignment horizontal="right"/>
    </xf>
    <xf numFmtId="0" fontId="7" fillId="0" borderId="0" xfId="0" applyFont="1" applyAlignment="1">
      <alignment horizontal="center"/>
    </xf>
    <xf numFmtId="0" fontId="4" fillId="0" borderId="0" xfId="0" applyFont="1" applyAlignment="1">
      <alignment horizontal="right"/>
    </xf>
    <xf numFmtId="0" fontId="4" fillId="0" borderId="9" xfId="0" applyFont="1" applyBorder="1" applyAlignment="1">
      <alignment vertical="center" wrapText="1"/>
    </xf>
    <xf numFmtId="0" fontId="15" fillId="0" borderId="0" xfId="0" applyFont="1"/>
    <xf numFmtId="0" fontId="14" fillId="0" borderId="0" xfId="0" applyFont="1" applyAlignment="1">
      <alignment horizontal="left" vertical="center"/>
    </xf>
    <xf numFmtId="0" fontId="14" fillId="0" borderId="7" xfId="0" applyFont="1" applyBorder="1" applyAlignment="1">
      <alignment vertical="center"/>
    </xf>
    <xf numFmtId="0" fontId="14" fillId="0" borderId="9" xfId="0" applyFont="1" applyBorder="1" applyAlignment="1">
      <alignment vertical="center"/>
    </xf>
    <xf numFmtId="0" fontId="15" fillId="0" borderId="0" xfId="0" applyFont="1" applyAlignment="1">
      <alignment horizontal="left"/>
    </xf>
    <xf numFmtId="0" fontId="24" fillId="0" borderId="0" xfId="0" applyFont="1" applyAlignment="1">
      <alignment horizontal="left"/>
    </xf>
    <xf numFmtId="9" fontId="10" fillId="0" borderId="11" xfId="3" applyFont="1" applyBorder="1" applyAlignment="1">
      <alignment horizontal="center" wrapText="1"/>
    </xf>
    <xf numFmtId="9" fontId="10" fillId="0" borderId="15" xfId="3" applyFont="1" applyBorder="1" applyAlignment="1">
      <alignment horizontal="center" wrapText="1"/>
    </xf>
    <xf numFmtId="9" fontId="10" fillId="0" borderId="18" xfId="3" applyFont="1" applyBorder="1" applyAlignment="1">
      <alignment horizontal="center" wrapText="1"/>
    </xf>
    <xf numFmtId="9" fontId="10" fillId="0" borderId="12" xfId="3" applyFont="1" applyBorder="1" applyAlignment="1">
      <alignment horizontal="center"/>
    </xf>
    <xf numFmtId="9" fontId="10" fillId="0" borderId="13" xfId="3" applyFont="1" applyBorder="1" applyAlignment="1">
      <alignment horizontal="center"/>
    </xf>
    <xf numFmtId="9" fontId="10" fillId="0" borderId="14" xfId="3" applyFont="1" applyBorder="1" applyAlignment="1">
      <alignment horizontal="center"/>
    </xf>
    <xf numFmtId="9" fontId="10" fillId="0" borderId="3" xfId="3" applyFont="1" applyBorder="1" applyAlignment="1">
      <alignment horizontal="center"/>
    </xf>
    <xf numFmtId="9" fontId="10" fillId="0" borderId="6" xfId="3" applyFont="1" applyBorder="1" applyAlignment="1">
      <alignment horizontal="center"/>
    </xf>
    <xf numFmtId="9" fontId="10" fillId="0" borderId="17" xfId="3" applyFont="1" applyBorder="1" applyAlignment="1">
      <alignment horizontal="center"/>
    </xf>
    <xf numFmtId="9" fontId="24" fillId="0" borderId="0" xfId="3" applyFont="1" applyBorder="1" applyAlignment="1">
      <alignment horizontal="left"/>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9" defaultPivotStyle="PivotStyleLight16"/>
  <colors>
    <mruColors>
      <color rgb="FF00738E"/>
      <color rgb="FF00505B"/>
      <color rgb="FFC4EDDD"/>
      <color rgb="FFE27D5F"/>
      <color rgb="FF80C8BD"/>
      <color rgb="FFB3E2E8"/>
      <color rgb="FFF0FE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600"/>
          </a:pPr>
          <a:endParaRPr lang="en-US"/>
        </a:p>
      </c:txPr>
    </c:title>
    <c:autoTitleDeleted val="0"/>
    <c:plotArea>
      <c:layout/>
      <c:barChart>
        <c:barDir val="col"/>
        <c:grouping val="clustered"/>
        <c:varyColors val="0"/>
        <c:ser>
          <c:idx val="3"/>
          <c:order val="0"/>
          <c:tx>
            <c:strRef>
              <c:f>'Yearly Income Analysis'!$F$8</c:f>
              <c:strCache>
                <c:ptCount val="1"/>
                <c:pt idx="0">
                  <c:v>Aggregate Income Before Taxes</c:v>
                </c:pt>
              </c:strCache>
            </c:strRef>
          </c:tx>
          <c:spPr>
            <a:solidFill>
              <a:srgbClr val="00738E"/>
            </a:solidFill>
          </c:spPr>
          <c:invertIfNegative val="0"/>
          <c:cat>
            <c:numRef>
              <c:f>'Yearly Income Analysis'!$B$9:$B$19</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cat>
          <c:val>
            <c:numRef>
              <c:f>'Yearly Income Analysis'!$F$9:$F$19</c:f>
              <c:numCache>
                <c:formatCode>_("$"* #,##0_);_("$"* \(#,##0\);_("$"* "-"??_);_(@_)</c:formatCode>
                <c:ptCount val="11"/>
                <c:pt idx="0">
                  <c:v>-95500</c:v>
                </c:pt>
                <c:pt idx="1">
                  <c:v>-38741.190476190473</c:v>
                </c:pt>
                <c:pt idx="2">
                  <c:v>18017.619047619053</c:v>
                </c:pt>
                <c:pt idx="3">
                  <c:v>74776.42857142858</c:v>
                </c:pt>
                <c:pt idx="4">
                  <c:v>131535.23809523811</c:v>
                </c:pt>
                <c:pt idx="5">
                  <c:v>188294.04761904763</c:v>
                </c:pt>
                <c:pt idx="6">
                  <c:v>245052.85714285716</c:v>
                </c:pt>
                <c:pt idx="7">
                  <c:v>301811.66666666669</c:v>
                </c:pt>
                <c:pt idx="8">
                  <c:v>358570.47619047621</c:v>
                </c:pt>
                <c:pt idx="9">
                  <c:v>415329.28571428574</c:v>
                </c:pt>
                <c:pt idx="10">
                  <c:v>472088.09523809521</c:v>
                </c:pt>
              </c:numCache>
            </c:numRef>
          </c:val>
          <c:extLst>
            <c:ext xmlns:c16="http://schemas.microsoft.com/office/drawing/2014/chart" uri="{C3380CC4-5D6E-409C-BE32-E72D297353CC}">
              <c16:uniqueId val="{00000000-B58A-434F-B083-90F38052EFC1}"/>
            </c:ext>
          </c:extLst>
        </c:ser>
        <c:dLbls>
          <c:showLegendKey val="0"/>
          <c:showVal val="0"/>
          <c:showCatName val="0"/>
          <c:showSerName val="0"/>
          <c:showPercent val="0"/>
          <c:showBubbleSize val="0"/>
        </c:dLbls>
        <c:gapWidth val="150"/>
        <c:axId val="457168288"/>
        <c:axId val="457168680"/>
      </c:barChart>
      <c:catAx>
        <c:axId val="457168288"/>
        <c:scaling>
          <c:orientation val="minMax"/>
        </c:scaling>
        <c:delete val="0"/>
        <c:axPos val="b"/>
        <c:numFmt formatCode="General" sourceLinked="1"/>
        <c:majorTickMark val="out"/>
        <c:minorTickMark val="none"/>
        <c:tickLblPos val="nextTo"/>
        <c:crossAx val="457168680"/>
        <c:crosses val="autoZero"/>
        <c:auto val="1"/>
        <c:lblAlgn val="ctr"/>
        <c:lblOffset val="100"/>
        <c:noMultiLvlLbl val="0"/>
      </c:catAx>
      <c:valAx>
        <c:axId val="457168680"/>
        <c:scaling>
          <c:orientation val="minMax"/>
        </c:scaling>
        <c:delete val="0"/>
        <c:axPos val="l"/>
        <c:majorGridlines/>
        <c:numFmt formatCode="_(&quot;$&quot;* #,##0_);_(&quot;$&quot;* \(#,##0\);_(&quot;$&quot;* &quot;-&quot;??_);_(@_)" sourceLinked="1"/>
        <c:majorTickMark val="out"/>
        <c:minorTickMark val="none"/>
        <c:tickLblPos val="nextTo"/>
        <c:crossAx val="457168288"/>
        <c:crosses val="autoZero"/>
        <c:crossBetween val="between"/>
      </c:valAx>
    </c:plotArea>
    <c:plotVisOnly val="1"/>
    <c:dispBlanksAs val="gap"/>
    <c:showDLblsOverMax val="0"/>
  </c:chart>
  <c:printSettings>
    <c:headerFooter/>
    <c:pageMargins b="0.75000000000000144" l="0.70000000000000062" r="0.70000000000000062" t="0.75000000000000144"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ow To Use'!A1"/></Relationships>
</file>

<file path=xl/drawings/_rels/drawing2.xml.rels><?xml version="1.0" encoding="UTF-8" standalone="yes"?>
<Relationships xmlns="http://schemas.openxmlformats.org/package/2006/relationships"><Relationship Id="rId1" Type="http://schemas.openxmlformats.org/officeDocument/2006/relationships/hyperlink" Target="#'Land Expense'!A1"/></Relationships>
</file>

<file path=xl/drawings/_rels/drawing3.xml.rels><?xml version="1.0" encoding="UTF-8" standalone="yes"?>
<Relationships xmlns="http://schemas.openxmlformats.org/package/2006/relationships"><Relationship Id="rId1" Type="http://schemas.openxmlformats.org/officeDocument/2006/relationships/hyperlink" Target="#Assumptions!A1"/></Relationships>
</file>

<file path=xl/drawings/_rels/drawing4.xml.rels><?xml version="1.0" encoding="UTF-8" standalone="yes"?>
<Relationships xmlns="http://schemas.openxmlformats.org/package/2006/relationships"><Relationship Id="rId1" Type="http://schemas.openxmlformats.org/officeDocument/2006/relationships/hyperlink" Target="#'Bottom Prep and Capital Cost'!A1"/></Relationships>
</file>

<file path=xl/drawings/_rels/drawing5.xml.rels><?xml version="1.0" encoding="UTF-8" standalone="yes"?>
<Relationships xmlns="http://schemas.openxmlformats.org/package/2006/relationships"><Relationship Id="rId1" Type="http://schemas.openxmlformats.org/officeDocument/2006/relationships/hyperlink" Target="#'Yearly Enterprise Budget'!A1"/></Relationships>
</file>

<file path=xl/drawings/_rels/drawing6.xml.rels><?xml version="1.0" encoding="UTF-8" standalone="yes"?>
<Relationships xmlns="http://schemas.openxmlformats.org/package/2006/relationships"><Relationship Id="rId1" Type="http://schemas.openxmlformats.org/officeDocument/2006/relationships/hyperlink" Target="#'Yearly Income Analysis'!A1"/></Relationships>
</file>

<file path=xl/drawings/_rels/drawing7.xml.rels><?xml version="1.0" encoding="UTF-8" standalone="yes"?>
<Relationships xmlns="http://schemas.openxmlformats.org/package/2006/relationships"><Relationship Id="rId2" Type="http://schemas.openxmlformats.org/officeDocument/2006/relationships/hyperlink" Target="#'Sensitivity Analysis'!A1"/><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15</xdr:col>
      <xdr:colOff>1066800</xdr:colOff>
      <xdr:row>17</xdr:row>
      <xdr:rowOff>266700</xdr:rowOff>
    </xdr:from>
    <xdr:to>
      <xdr:col>18</xdr:col>
      <xdr:colOff>165100</xdr:colOff>
      <xdr:row>18</xdr:row>
      <xdr:rowOff>355600</xdr:rowOff>
    </xdr:to>
    <xdr:sp macro="" textlink="">
      <xdr:nvSpPr>
        <xdr:cNvPr id="13" name="Rounded Rectangle 12">
          <a:hlinkClick xmlns:r="http://schemas.openxmlformats.org/officeDocument/2006/relationships" r:id="rId1"/>
          <a:extLst>
            <a:ext uri="{FF2B5EF4-FFF2-40B4-BE49-F238E27FC236}">
              <a16:creationId xmlns:a16="http://schemas.microsoft.com/office/drawing/2014/main" id="{FC754E96-7A59-9A4C-BFBB-EF6851DE2648}"/>
            </a:ext>
          </a:extLst>
        </xdr:cNvPr>
        <xdr:cNvSpPr/>
      </xdr:nvSpPr>
      <xdr:spPr>
        <a:xfrm>
          <a:off x="10629900" y="6146800"/>
          <a:ext cx="1917700" cy="469900"/>
        </a:xfrm>
        <a:prstGeom prst="roundRect">
          <a:avLst/>
        </a:prstGeom>
        <a:gradFill flip="none" rotWithShape="1">
          <a:gsLst>
            <a:gs pos="0">
              <a:srgbClr val="00505B"/>
            </a:gs>
            <a:gs pos="50000">
              <a:srgbClr val="00738E"/>
            </a:gs>
            <a:gs pos="100000">
              <a:srgbClr val="80C8BD"/>
            </a:gs>
          </a:gsLst>
          <a:lin ang="27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xdr:row>
      <xdr:rowOff>12700</xdr:rowOff>
    </xdr:from>
    <xdr:to>
      <xdr:col>18</xdr:col>
      <xdr:colOff>317500</xdr:colOff>
      <xdr:row>3</xdr:row>
      <xdr:rowOff>787400</xdr:rowOff>
    </xdr:to>
    <xdr:sp macro="" textlink="">
      <xdr:nvSpPr>
        <xdr:cNvPr id="2" name="Round Same Side Corner Rectangle 1">
          <a:extLst>
            <a:ext uri="{FF2B5EF4-FFF2-40B4-BE49-F238E27FC236}">
              <a16:creationId xmlns:a16="http://schemas.microsoft.com/office/drawing/2014/main" id="{146696BB-6E74-054D-A6A3-C584DEE010DE}"/>
            </a:ext>
          </a:extLst>
        </xdr:cNvPr>
        <xdr:cNvSpPr/>
      </xdr:nvSpPr>
      <xdr:spPr>
        <a:xfrm>
          <a:off x="635000" y="203200"/>
          <a:ext cx="12103100" cy="774700"/>
        </a:xfrm>
        <a:prstGeom prst="round2SameRect">
          <a:avLst/>
        </a:prstGeom>
        <a:gradFill flip="none" rotWithShape="1">
          <a:gsLst>
            <a:gs pos="0">
              <a:srgbClr val="00505B"/>
            </a:gs>
            <a:gs pos="50000">
              <a:srgbClr val="00738E"/>
            </a:gs>
            <a:gs pos="100000">
              <a:srgbClr val="80C8BD"/>
            </a:gs>
          </a:gsLst>
          <a:lin ang="27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177800</xdr:colOff>
      <xdr:row>3</xdr:row>
      <xdr:rowOff>152400</xdr:rowOff>
    </xdr:from>
    <xdr:to>
      <xdr:col>13</xdr:col>
      <xdr:colOff>571500</xdr:colOff>
      <xdr:row>3</xdr:row>
      <xdr:rowOff>685800</xdr:rowOff>
    </xdr:to>
    <xdr:sp macro="" textlink="">
      <xdr:nvSpPr>
        <xdr:cNvPr id="3" name="TextBox 2">
          <a:extLst>
            <a:ext uri="{FF2B5EF4-FFF2-40B4-BE49-F238E27FC236}">
              <a16:creationId xmlns:a16="http://schemas.microsoft.com/office/drawing/2014/main" id="{67E022D8-B26A-3C4F-96FF-D0EAA7180D28}"/>
            </a:ext>
          </a:extLst>
        </xdr:cNvPr>
        <xdr:cNvSpPr txBox="1"/>
      </xdr:nvSpPr>
      <xdr:spPr>
        <a:xfrm>
          <a:off x="812800" y="342900"/>
          <a:ext cx="8013700"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000">
              <a:solidFill>
                <a:schemeClr val="bg1"/>
              </a:solidFill>
            </a:rPr>
            <a:t>Oyster Farming Business Planning Tool</a:t>
          </a:r>
        </a:p>
      </xdr:txBody>
    </xdr:sp>
    <xdr:clientData/>
  </xdr:twoCellAnchor>
  <xdr:twoCellAnchor>
    <xdr:from>
      <xdr:col>1</xdr:col>
      <xdr:colOff>10492</xdr:colOff>
      <xdr:row>4</xdr:row>
      <xdr:rowOff>94698</xdr:rowOff>
    </xdr:from>
    <xdr:to>
      <xdr:col>1</xdr:col>
      <xdr:colOff>166332</xdr:colOff>
      <xdr:row>4</xdr:row>
      <xdr:rowOff>291548</xdr:rowOff>
    </xdr:to>
    <xdr:sp macro="" textlink="">
      <xdr:nvSpPr>
        <xdr:cNvPr id="4" name="Triangle 3">
          <a:extLst>
            <a:ext uri="{FF2B5EF4-FFF2-40B4-BE49-F238E27FC236}">
              <a16:creationId xmlns:a16="http://schemas.microsoft.com/office/drawing/2014/main" id="{587CAE7D-3265-8844-84A8-B8F4C4A2A67D}"/>
            </a:ext>
          </a:extLst>
        </xdr:cNvPr>
        <xdr:cNvSpPr/>
      </xdr:nvSpPr>
      <xdr:spPr>
        <a:xfrm rot="5400000">
          <a:off x="624987" y="2198003"/>
          <a:ext cx="196850" cy="155840"/>
        </a:xfrm>
        <a:prstGeom prst="triangle">
          <a:avLst/>
        </a:prstGeom>
        <a:solidFill>
          <a:srgbClr val="0050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1270000</xdr:colOff>
      <xdr:row>18</xdr:row>
      <xdr:rowOff>25400</xdr:rowOff>
    </xdr:from>
    <xdr:to>
      <xdr:col>15</xdr:col>
      <xdr:colOff>1425840</xdr:colOff>
      <xdr:row>18</xdr:row>
      <xdr:rowOff>222250</xdr:rowOff>
    </xdr:to>
    <xdr:sp macro="" textlink="">
      <xdr:nvSpPr>
        <xdr:cNvPr id="7" name="Triangle 6">
          <a:hlinkClick xmlns:r="http://schemas.openxmlformats.org/officeDocument/2006/relationships" r:id="rId1"/>
          <a:extLst>
            <a:ext uri="{FF2B5EF4-FFF2-40B4-BE49-F238E27FC236}">
              <a16:creationId xmlns:a16="http://schemas.microsoft.com/office/drawing/2014/main" id="{7FD4DF3D-B81E-E647-BF48-8E2E9358B682}"/>
            </a:ext>
          </a:extLst>
        </xdr:cNvPr>
        <xdr:cNvSpPr/>
      </xdr:nvSpPr>
      <xdr:spPr>
        <a:xfrm rot="5400000">
          <a:off x="10850695" y="7742105"/>
          <a:ext cx="196850" cy="15584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1409700</xdr:colOff>
      <xdr:row>17</xdr:row>
      <xdr:rowOff>355600</xdr:rowOff>
    </xdr:from>
    <xdr:to>
      <xdr:col>18</xdr:col>
      <xdr:colOff>139700</xdr:colOff>
      <xdr:row>18</xdr:row>
      <xdr:rowOff>241300</xdr:rowOff>
    </xdr:to>
    <xdr:sp macro="" textlink="">
      <xdr:nvSpPr>
        <xdr:cNvPr id="9" name="TextBox 8">
          <a:hlinkClick xmlns:r="http://schemas.openxmlformats.org/officeDocument/2006/relationships" r:id="rId1"/>
          <a:extLst>
            <a:ext uri="{FF2B5EF4-FFF2-40B4-BE49-F238E27FC236}">
              <a16:creationId xmlns:a16="http://schemas.microsoft.com/office/drawing/2014/main" id="{450F54B8-9B92-994D-9676-3CEFF90FFFC5}"/>
            </a:ext>
          </a:extLst>
        </xdr:cNvPr>
        <xdr:cNvSpPr txBox="1"/>
      </xdr:nvSpPr>
      <xdr:spPr>
        <a:xfrm>
          <a:off x="10972800" y="6235700"/>
          <a:ext cx="15494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bg1"/>
              </a:solidFill>
            </a:rPr>
            <a:t>Next: How to Use</a:t>
          </a:r>
        </a:p>
      </xdr:txBody>
    </xdr:sp>
    <xdr:clientData/>
  </xdr:twoCellAnchor>
  <xdr:twoCellAnchor>
    <xdr:from>
      <xdr:col>1</xdr:col>
      <xdr:colOff>10492</xdr:colOff>
      <xdr:row>11</xdr:row>
      <xdr:rowOff>94698</xdr:rowOff>
    </xdr:from>
    <xdr:to>
      <xdr:col>1</xdr:col>
      <xdr:colOff>166332</xdr:colOff>
      <xdr:row>11</xdr:row>
      <xdr:rowOff>291548</xdr:rowOff>
    </xdr:to>
    <xdr:sp macro="" textlink="">
      <xdr:nvSpPr>
        <xdr:cNvPr id="10" name="Triangle 9">
          <a:extLst>
            <a:ext uri="{FF2B5EF4-FFF2-40B4-BE49-F238E27FC236}">
              <a16:creationId xmlns:a16="http://schemas.microsoft.com/office/drawing/2014/main" id="{431B92FD-27F9-E342-8853-ADDB3BC5A97A}"/>
            </a:ext>
          </a:extLst>
        </xdr:cNvPr>
        <xdr:cNvSpPr/>
      </xdr:nvSpPr>
      <xdr:spPr>
        <a:xfrm rot="5400000">
          <a:off x="624987" y="4090303"/>
          <a:ext cx="196850" cy="155840"/>
        </a:xfrm>
        <a:prstGeom prst="triangle">
          <a:avLst/>
        </a:prstGeom>
        <a:solidFill>
          <a:srgbClr val="0050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38100</xdr:colOff>
      <xdr:row>0</xdr:row>
      <xdr:rowOff>137540</xdr:rowOff>
    </xdr:from>
    <xdr:to>
      <xdr:col>8</xdr:col>
      <xdr:colOff>88900</xdr:colOff>
      <xdr:row>1</xdr:row>
      <xdr:rowOff>719937</xdr:rowOff>
    </xdr:to>
    <xdr:pic>
      <xdr:nvPicPr>
        <xdr:cNvPr id="11" name="Picture 10">
          <a:extLst>
            <a:ext uri="{FF2B5EF4-FFF2-40B4-BE49-F238E27FC236}">
              <a16:creationId xmlns:a16="http://schemas.microsoft.com/office/drawing/2014/main" id="{1E0D7EBB-D9B0-2146-9346-5090458BCB16}"/>
            </a:ext>
          </a:extLst>
        </xdr:cNvPr>
        <xdr:cNvPicPr>
          <a:picLocks noChangeAspect="1"/>
        </xdr:cNvPicPr>
      </xdr:nvPicPr>
      <xdr:blipFill>
        <a:blip xmlns:r="http://schemas.openxmlformats.org/officeDocument/2006/relationships" r:embed="rId2"/>
        <a:stretch>
          <a:fillRect/>
        </a:stretch>
      </xdr:blipFill>
      <xdr:spPr>
        <a:xfrm>
          <a:off x="850900" y="137540"/>
          <a:ext cx="4089400" cy="772897"/>
        </a:xfrm>
        <a:prstGeom prst="rect">
          <a:avLst/>
        </a:prstGeom>
      </xdr:spPr>
    </xdr:pic>
    <xdr:clientData/>
  </xdr:twoCellAnchor>
  <xdr:twoCellAnchor>
    <xdr:from>
      <xdr:col>1</xdr:col>
      <xdr:colOff>10492</xdr:colOff>
      <xdr:row>14</xdr:row>
      <xdr:rowOff>94698</xdr:rowOff>
    </xdr:from>
    <xdr:to>
      <xdr:col>1</xdr:col>
      <xdr:colOff>166332</xdr:colOff>
      <xdr:row>14</xdr:row>
      <xdr:rowOff>291548</xdr:rowOff>
    </xdr:to>
    <xdr:sp macro="" textlink="">
      <xdr:nvSpPr>
        <xdr:cNvPr id="12" name="Triangle 11">
          <a:extLst>
            <a:ext uri="{FF2B5EF4-FFF2-40B4-BE49-F238E27FC236}">
              <a16:creationId xmlns:a16="http://schemas.microsoft.com/office/drawing/2014/main" id="{226B0E6B-80B1-7C4F-B237-CDF752BC8610}"/>
            </a:ext>
          </a:extLst>
        </xdr:cNvPr>
        <xdr:cNvSpPr/>
      </xdr:nvSpPr>
      <xdr:spPr>
        <a:xfrm rot="5400000">
          <a:off x="624987" y="4064903"/>
          <a:ext cx="196850" cy="155840"/>
        </a:xfrm>
        <a:prstGeom prst="triangle">
          <a:avLst/>
        </a:prstGeom>
        <a:solidFill>
          <a:srgbClr val="0050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15</xdr:col>
      <xdr:colOff>457200</xdr:colOff>
      <xdr:row>2</xdr:row>
      <xdr:rowOff>12700</xdr:rowOff>
    </xdr:to>
    <xdr:sp macro="" textlink="">
      <xdr:nvSpPr>
        <xdr:cNvPr id="2" name="Round Same Side Corner Rectangle 1">
          <a:extLst>
            <a:ext uri="{FF2B5EF4-FFF2-40B4-BE49-F238E27FC236}">
              <a16:creationId xmlns:a16="http://schemas.microsoft.com/office/drawing/2014/main" id="{1EA48E40-0054-B74C-85CA-08AC7A2127BF}"/>
            </a:ext>
          </a:extLst>
        </xdr:cNvPr>
        <xdr:cNvSpPr/>
      </xdr:nvSpPr>
      <xdr:spPr>
        <a:xfrm>
          <a:off x="635000" y="190500"/>
          <a:ext cx="10210800" cy="774700"/>
        </a:xfrm>
        <a:prstGeom prst="round2SameRect">
          <a:avLst/>
        </a:prstGeom>
        <a:gradFill flip="none" rotWithShape="1">
          <a:gsLst>
            <a:gs pos="0">
              <a:srgbClr val="00505B"/>
            </a:gs>
            <a:gs pos="50000">
              <a:srgbClr val="00738E"/>
            </a:gs>
            <a:gs pos="100000">
              <a:srgbClr val="80C8BD"/>
            </a:gs>
          </a:gsLst>
          <a:lin ang="27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177800</xdr:colOff>
      <xdr:row>1</xdr:row>
      <xdr:rowOff>139700</xdr:rowOff>
    </xdr:from>
    <xdr:to>
      <xdr:col>13</xdr:col>
      <xdr:colOff>76200</xdr:colOff>
      <xdr:row>1</xdr:row>
      <xdr:rowOff>673100</xdr:rowOff>
    </xdr:to>
    <xdr:sp macro="" textlink="">
      <xdr:nvSpPr>
        <xdr:cNvPr id="3" name="TextBox 2">
          <a:extLst>
            <a:ext uri="{FF2B5EF4-FFF2-40B4-BE49-F238E27FC236}">
              <a16:creationId xmlns:a16="http://schemas.microsoft.com/office/drawing/2014/main" id="{785E9BEC-929C-E544-B74C-2905ABC50D1F}"/>
            </a:ext>
          </a:extLst>
        </xdr:cNvPr>
        <xdr:cNvSpPr txBox="1"/>
      </xdr:nvSpPr>
      <xdr:spPr>
        <a:xfrm>
          <a:off x="812800" y="330200"/>
          <a:ext cx="7975600"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000">
              <a:solidFill>
                <a:schemeClr val="bg1"/>
              </a:solidFill>
            </a:rPr>
            <a:t>How to Use the Planning Tool</a:t>
          </a:r>
        </a:p>
      </xdr:txBody>
    </xdr:sp>
    <xdr:clientData/>
  </xdr:twoCellAnchor>
  <xdr:twoCellAnchor>
    <xdr:from>
      <xdr:col>1</xdr:col>
      <xdr:colOff>25400</xdr:colOff>
      <xdr:row>3</xdr:row>
      <xdr:rowOff>63500</xdr:rowOff>
    </xdr:from>
    <xdr:to>
      <xdr:col>1</xdr:col>
      <xdr:colOff>181240</xdr:colOff>
      <xdr:row>3</xdr:row>
      <xdr:rowOff>260350</xdr:rowOff>
    </xdr:to>
    <xdr:sp macro="" textlink="">
      <xdr:nvSpPr>
        <xdr:cNvPr id="4" name="Triangle 3">
          <a:extLst>
            <a:ext uri="{FF2B5EF4-FFF2-40B4-BE49-F238E27FC236}">
              <a16:creationId xmlns:a16="http://schemas.microsoft.com/office/drawing/2014/main" id="{A9A02F51-F76D-C543-AC08-C1DD389050F3}"/>
            </a:ext>
          </a:extLst>
        </xdr:cNvPr>
        <xdr:cNvSpPr/>
      </xdr:nvSpPr>
      <xdr:spPr>
        <a:xfrm rot="5400000">
          <a:off x="639895" y="1303205"/>
          <a:ext cx="196850" cy="155840"/>
        </a:xfrm>
        <a:prstGeom prst="triangle">
          <a:avLst/>
        </a:prstGeom>
        <a:solidFill>
          <a:srgbClr val="0050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38100</xdr:colOff>
      <xdr:row>9</xdr:row>
      <xdr:rowOff>63500</xdr:rowOff>
    </xdr:from>
    <xdr:to>
      <xdr:col>1</xdr:col>
      <xdr:colOff>193940</xdr:colOff>
      <xdr:row>9</xdr:row>
      <xdr:rowOff>260350</xdr:rowOff>
    </xdr:to>
    <xdr:sp macro="" textlink="">
      <xdr:nvSpPr>
        <xdr:cNvPr id="5" name="Triangle 4">
          <a:extLst>
            <a:ext uri="{FF2B5EF4-FFF2-40B4-BE49-F238E27FC236}">
              <a16:creationId xmlns:a16="http://schemas.microsoft.com/office/drawing/2014/main" id="{F0C464C3-9149-CC49-A0EE-A9E1B4C67F8F}"/>
            </a:ext>
          </a:extLst>
        </xdr:cNvPr>
        <xdr:cNvSpPr/>
      </xdr:nvSpPr>
      <xdr:spPr>
        <a:xfrm rot="5400000">
          <a:off x="652595" y="3627305"/>
          <a:ext cx="196850" cy="155840"/>
        </a:xfrm>
        <a:prstGeom prst="triangle">
          <a:avLst/>
        </a:prstGeom>
        <a:solidFill>
          <a:srgbClr val="0050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38100</xdr:colOff>
      <xdr:row>12</xdr:row>
      <xdr:rowOff>139700</xdr:rowOff>
    </xdr:from>
    <xdr:to>
      <xdr:col>1</xdr:col>
      <xdr:colOff>193940</xdr:colOff>
      <xdr:row>12</xdr:row>
      <xdr:rowOff>336550</xdr:rowOff>
    </xdr:to>
    <xdr:sp macro="" textlink="">
      <xdr:nvSpPr>
        <xdr:cNvPr id="6" name="Triangle 5">
          <a:extLst>
            <a:ext uri="{FF2B5EF4-FFF2-40B4-BE49-F238E27FC236}">
              <a16:creationId xmlns:a16="http://schemas.microsoft.com/office/drawing/2014/main" id="{277E22A0-F209-D448-B963-F0CA3624CD67}"/>
            </a:ext>
          </a:extLst>
        </xdr:cNvPr>
        <xdr:cNvSpPr/>
      </xdr:nvSpPr>
      <xdr:spPr>
        <a:xfrm rot="5400000">
          <a:off x="652595" y="4592505"/>
          <a:ext cx="196850" cy="155840"/>
        </a:xfrm>
        <a:prstGeom prst="triangle">
          <a:avLst/>
        </a:prstGeom>
        <a:solidFill>
          <a:srgbClr val="0050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16</xdr:row>
      <xdr:rowOff>152400</xdr:rowOff>
    </xdr:from>
    <xdr:to>
      <xdr:col>15</xdr:col>
      <xdr:colOff>0</xdr:colOff>
      <xdr:row>26</xdr:row>
      <xdr:rowOff>25400</xdr:rowOff>
    </xdr:to>
    <xdr:sp macro="" textlink="">
      <xdr:nvSpPr>
        <xdr:cNvPr id="7" name="TextBox 6">
          <a:extLst>
            <a:ext uri="{FF2B5EF4-FFF2-40B4-BE49-F238E27FC236}">
              <a16:creationId xmlns:a16="http://schemas.microsoft.com/office/drawing/2014/main" id="{F33993B8-8A38-0F4A-837D-D9404EABA1F2}"/>
            </a:ext>
          </a:extLst>
        </xdr:cNvPr>
        <xdr:cNvSpPr txBox="1"/>
      </xdr:nvSpPr>
      <xdr:spPr>
        <a:xfrm>
          <a:off x="584200" y="5835650"/>
          <a:ext cx="8928100" cy="177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1</a:t>
          </a:r>
          <a:r>
            <a:rPr lang="en-US" sz="1200"/>
            <a:t>. In most cases, farmers will need land/dock/land based facilities with shoreline and waterway access to sustain their business. If the user already owns the land/dock/land based facilities needed for their business, AND HAS ALREADY PAID OFF THEIR MORTGAGE, the user should ENTER ZEROS into the red cells and move on to the "Assumptions" sheet.</a:t>
          </a:r>
        </a:p>
        <a:p>
          <a:r>
            <a:rPr lang="en-US" sz="1200" b="1"/>
            <a:t>2.</a:t>
          </a:r>
          <a:r>
            <a:rPr lang="en-US" sz="1200"/>
            <a:t> If the user has no monthly land expenses (i.e. NO RENT OR MORTGAGE), the user should ENTER ZEROS into the red cells and move on to the "Assumptions" sheet.</a:t>
          </a:r>
        </a:p>
        <a:p>
          <a:r>
            <a:rPr lang="en-US" sz="1200" b="1"/>
            <a:t>3.</a:t>
          </a:r>
          <a:r>
            <a:rPr lang="en-US" sz="1200"/>
            <a:t> If the user plans to buy land, enter the down payment in Cell E8, the monthly mortgage payment on the principle in Cell E10, and the monthly mortgage interest in Cell E12. If the user does not plan to buy land, leave Cells E8, E10, and E12</a:t>
          </a:r>
          <a:r>
            <a:rPr lang="en-US" sz="1200" baseline="0"/>
            <a:t> </a:t>
          </a:r>
          <a:r>
            <a:rPr lang="en-US" sz="1200"/>
            <a:t>as ZERO.		</a:t>
          </a:r>
        </a:p>
        <a:p>
          <a:r>
            <a:rPr lang="en-US" sz="1200" b="1"/>
            <a:t>4.</a:t>
          </a:r>
          <a:r>
            <a:rPr lang="en-US" sz="1200"/>
            <a:t> If the user plands to rent land, enter the monthly rent expense into the indicated Cell (E14). If the user does not plan to rent land, leave this indicated Cell as ZERO</a:t>
          </a:r>
          <a:r>
            <a:rPr lang="en-US" sz="1100"/>
            <a:t>.																																</a:t>
          </a:r>
        </a:p>
      </xdr:txBody>
    </xdr:sp>
    <xdr:clientData/>
  </xdr:twoCellAnchor>
  <xdr:twoCellAnchor>
    <xdr:from>
      <xdr:col>1</xdr:col>
      <xdr:colOff>25400</xdr:colOff>
      <xdr:row>28</xdr:row>
      <xdr:rowOff>190500</xdr:rowOff>
    </xdr:from>
    <xdr:to>
      <xdr:col>15</xdr:col>
      <xdr:colOff>12700</xdr:colOff>
      <xdr:row>32</xdr:row>
      <xdr:rowOff>101600</xdr:rowOff>
    </xdr:to>
    <xdr:sp macro="" textlink="">
      <xdr:nvSpPr>
        <xdr:cNvPr id="8" name="TextBox 7">
          <a:extLst>
            <a:ext uri="{FF2B5EF4-FFF2-40B4-BE49-F238E27FC236}">
              <a16:creationId xmlns:a16="http://schemas.microsoft.com/office/drawing/2014/main" id="{10248262-0432-C94A-AEA1-A273CC134EAA}"/>
            </a:ext>
          </a:extLst>
        </xdr:cNvPr>
        <xdr:cNvSpPr txBox="1"/>
      </xdr:nvSpPr>
      <xdr:spPr>
        <a:xfrm>
          <a:off x="660400" y="7962900"/>
          <a:ext cx="9740900" cy="927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1. </a:t>
          </a:r>
          <a:r>
            <a:rPr lang="en-US" sz="1200" b="0"/>
            <a:t>Enter</a:t>
          </a:r>
          <a:r>
            <a:rPr lang="en-US" sz="1200" b="0" baseline="0"/>
            <a:t> </a:t>
          </a:r>
          <a:r>
            <a:rPr lang="en-US" sz="1200"/>
            <a:t>information into the red cells related to production (e.g. The number of oysters you plan to produce, farm area, oysters per cage, survival rate), marketing (e.g. prices received), and other (e.g. loan interest, permit fees, labor, monitoring).	</a:t>
          </a:r>
        </a:p>
        <a:p>
          <a:r>
            <a:rPr lang="en-US" sz="1200" b="1"/>
            <a:t>2. </a:t>
          </a:r>
          <a:r>
            <a:rPr lang="en-US" sz="1200"/>
            <a:t>The "calculated values" section automatically calculates based on the data you entered into the red cells. This section tells you how much seed you need to plant based on your estimated survival rate and production goals, the total number of cages needed, and planting rate per acre.</a:t>
          </a:r>
          <a:r>
            <a:rPr lang="en-US" sz="1100"/>
            <a:t>													</a:t>
          </a:r>
        </a:p>
        <a:p>
          <a:endParaRPr lang="en-US" sz="1100"/>
        </a:p>
        <a:p>
          <a:r>
            <a:rPr lang="en-US" sz="1100"/>
            <a:t>																									</a:t>
          </a:r>
        </a:p>
        <a:p>
          <a:endParaRPr lang="en-US" sz="1100"/>
        </a:p>
        <a:p>
          <a:r>
            <a:rPr lang="en-US" sz="1100"/>
            <a:t>													</a:t>
          </a:r>
        </a:p>
      </xdr:txBody>
    </xdr:sp>
    <xdr:clientData/>
  </xdr:twoCellAnchor>
  <xdr:twoCellAnchor>
    <xdr:from>
      <xdr:col>1</xdr:col>
      <xdr:colOff>0</xdr:colOff>
      <xdr:row>35</xdr:row>
      <xdr:rowOff>0</xdr:rowOff>
    </xdr:from>
    <xdr:to>
      <xdr:col>15</xdr:col>
      <xdr:colOff>0</xdr:colOff>
      <xdr:row>38</xdr:row>
      <xdr:rowOff>323850</xdr:rowOff>
    </xdr:to>
    <xdr:sp macro="" textlink="">
      <xdr:nvSpPr>
        <xdr:cNvPr id="9" name="TextBox 8">
          <a:extLst>
            <a:ext uri="{FF2B5EF4-FFF2-40B4-BE49-F238E27FC236}">
              <a16:creationId xmlns:a16="http://schemas.microsoft.com/office/drawing/2014/main" id="{FEC855F4-D29C-9C4E-92E0-85E9F966B5F9}"/>
            </a:ext>
          </a:extLst>
        </xdr:cNvPr>
        <xdr:cNvSpPr txBox="1"/>
      </xdr:nvSpPr>
      <xdr:spPr>
        <a:xfrm>
          <a:off x="561975" y="9601200"/>
          <a:ext cx="85534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1. </a:t>
          </a:r>
          <a:r>
            <a:rPr lang="en-US" sz="1200"/>
            <a:t>The user enters information into the red cells related to capital costs such as vessels, trucks, cranes, cages, bags, anchors, etc. The information to enter consists of the unit price, the number of units bought, the item's useful life, its salvage value, and its percentage of time devoted to aquaculture.</a:t>
          </a:r>
        </a:p>
        <a:p>
          <a:r>
            <a:rPr lang="en-US" sz="1200" b="1"/>
            <a:t>2. </a:t>
          </a:r>
          <a:r>
            <a:rPr lang="en-US" sz="1200"/>
            <a:t>Total capital start up costs and depreciation rates are automatically calculated in the white cells.</a:t>
          </a:r>
          <a:r>
            <a:rPr lang="en-US" sz="1100"/>
            <a:t>																									</a:t>
          </a:r>
        </a:p>
        <a:p>
          <a:endParaRPr lang="en-US" sz="1100"/>
        </a:p>
        <a:p>
          <a:r>
            <a:rPr lang="en-US" sz="1100"/>
            <a:t>													</a:t>
          </a:r>
        </a:p>
      </xdr:txBody>
    </xdr:sp>
    <xdr:clientData/>
  </xdr:twoCellAnchor>
  <xdr:twoCellAnchor>
    <xdr:from>
      <xdr:col>1</xdr:col>
      <xdr:colOff>0</xdr:colOff>
      <xdr:row>40</xdr:row>
      <xdr:rowOff>114299</xdr:rowOff>
    </xdr:from>
    <xdr:to>
      <xdr:col>15</xdr:col>
      <xdr:colOff>0</xdr:colOff>
      <xdr:row>47</xdr:row>
      <xdr:rowOff>371474</xdr:rowOff>
    </xdr:to>
    <xdr:sp macro="" textlink="">
      <xdr:nvSpPr>
        <xdr:cNvPr id="10" name="TextBox 9">
          <a:extLst>
            <a:ext uri="{FF2B5EF4-FFF2-40B4-BE49-F238E27FC236}">
              <a16:creationId xmlns:a16="http://schemas.microsoft.com/office/drawing/2014/main" id="{719E24B3-7D45-2B4B-86B0-FDD7ED7D8FF4}"/>
            </a:ext>
          </a:extLst>
        </xdr:cNvPr>
        <xdr:cNvSpPr txBox="1"/>
      </xdr:nvSpPr>
      <xdr:spPr>
        <a:xfrm>
          <a:off x="561975" y="10782299"/>
          <a:ext cx="8553450" cy="1590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DO NOT ENTER OR MODIFY ANY INFORMATION ON THIS SHEET UNLESS YOU ARE VERY FAMILIAR WITH THE TOOL.</a:t>
          </a:r>
        </a:p>
        <a:p>
          <a:r>
            <a:rPr lang="en-US" sz="1200" b="1"/>
            <a:t>1. </a:t>
          </a:r>
          <a:r>
            <a:rPr lang="en-US" sz="1200"/>
            <a:t>This provides the user with an annual budget, line item by line item. This sheet shows the user to see how each expense category contributes to total expenses, expenses per oyster, and your breakeven price per oyster. Repairs are assumed to be 4% of capital costs per year.</a:t>
          </a:r>
        </a:p>
        <a:p>
          <a:r>
            <a:rPr lang="en-US" sz="1200" b="1"/>
            <a:t>2. </a:t>
          </a:r>
          <a:r>
            <a:rPr lang="en-US" sz="1200"/>
            <a:t>Net Income before taxes is calculated in Cell G51. From there, an estimated tax rate of 25% is applied to net income before taxes to estimate after-tax income in Cell G53. From there, principal payments on mortgage and operating loans are deducted (if applicable), as principal payments on loans are not tax deductable. Then, depreciation expenses are added back in to calculate your estimated net cash position at the end of the year in Cell G57.																																</a:t>
          </a:r>
        </a:p>
      </xdr:txBody>
    </xdr:sp>
    <xdr:clientData/>
  </xdr:twoCellAnchor>
  <xdr:twoCellAnchor>
    <xdr:from>
      <xdr:col>1</xdr:col>
      <xdr:colOff>3175</xdr:colOff>
      <xdr:row>49</xdr:row>
      <xdr:rowOff>165100</xdr:rowOff>
    </xdr:from>
    <xdr:to>
      <xdr:col>15</xdr:col>
      <xdr:colOff>3175</xdr:colOff>
      <xdr:row>61</xdr:row>
      <xdr:rowOff>88900</xdr:rowOff>
    </xdr:to>
    <xdr:sp macro="" textlink="">
      <xdr:nvSpPr>
        <xdr:cNvPr id="11" name="TextBox 10">
          <a:extLst>
            <a:ext uri="{FF2B5EF4-FFF2-40B4-BE49-F238E27FC236}">
              <a16:creationId xmlns:a16="http://schemas.microsoft.com/office/drawing/2014/main" id="{4EA74F19-87C1-4740-A1B9-F30FB5E49E7A}"/>
            </a:ext>
          </a:extLst>
        </xdr:cNvPr>
        <xdr:cNvSpPr txBox="1"/>
      </xdr:nvSpPr>
      <xdr:spPr>
        <a:xfrm>
          <a:off x="565150" y="12604750"/>
          <a:ext cx="8553450" cy="2209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DO NOT ENTER OR MODIFY ANY INFORMATION ON THIS SHEET UNLESS YOU ARE VERY FAMILIAR WITH THE TOOL.</a:t>
          </a:r>
        </a:p>
        <a:p>
          <a:r>
            <a:rPr lang="en-US" sz="1200" b="1"/>
            <a:t>1. </a:t>
          </a:r>
          <a:r>
            <a:rPr lang="en-US" sz="1200"/>
            <a:t>This provides the user with a 10 year outlook for estimated profitability and rate of return. The user will be able to see during which year their business becomes profitable based on the assumptions used. It may be useful for the user to vary the assumptions they input into the yellow cells on previous sheets to see how the Yearly Income Analysis changes based on these assumptions.</a:t>
          </a:r>
        </a:p>
        <a:p>
          <a:r>
            <a:rPr lang="en-US" sz="1200" b="1"/>
            <a:t>2. </a:t>
          </a:r>
          <a:r>
            <a:rPr lang="en-US" sz="1200"/>
            <a:t>The Internal Rate of Return (Cell E22) estimates a non-discounted annualized return on your initial investment based on your net income before taxes over the 10 year period.</a:t>
          </a:r>
        </a:p>
        <a:p>
          <a:r>
            <a:rPr lang="en-US" sz="1200" b="1"/>
            <a:t>3. </a:t>
          </a:r>
          <a:r>
            <a:rPr lang="en-US" sz="1200"/>
            <a:t>The 10-Year Net Present Value (NPV) in Cell E23 estimates the present-day value of your estimated aggregate net income before taxes after year 10. The reason why this NPV is less than the aggregate income value in Cell F19</a:t>
          </a:r>
          <a:r>
            <a:rPr lang="en-US" sz="1200" baseline="0"/>
            <a:t> </a:t>
          </a:r>
          <a:r>
            <a:rPr lang="en-US" sz="1200"/>
            <a:t>is because "a dollar today is worth more than a dollar tomorrow." Future income is "discounted" using the rate in Cell E24 (default rate of 6%) to estimate how much that future income is worth in today's dollars.</a:t>
          </a:r>
        </a:p>
        <a:p>
          <a:r>
            <a:rPr lang="en-US" sz="1200" b="1"/>
            <a:t>4. </a:t>
          </a:r>
          <a:r>
            <a:rPr lang="en-US" sz="1200"/>
            <a:t>The discounted rate of return in Cell E25 estimates the annualized return on your initial investment based on the NPV of your net income before taxes over the 10 year period.																																																											</a:t>
          </a:r>
        </a:p>
      </xdr:txBody>
    </xdr:sp>
    <xdr:clientData/>
  </xdr:twoCellAnchor>
  <xdr:twoCellAnchor>
    <xdr:from>
      <xdr:col>1</xdr:col>
      <xdr:colOff>0</xdr:colOff>
      <xdr:row>63</xdr:row>
      <xdr:rowOff>127000</xdr:rowOff>
    </xdr:from>
    <xdr:to>
      <xdr:col>15</xdr:col>
      <xdr:colOff>0</xdr:colOff>
      <xdr:row>68</xdr:row>
      <xdr:rowOff>12700</xdr:rowOff>
    </xdr:to>
    <xdr:sp macro="" textlink="">
      <xdr:nvSpPr>
        <xdr:cNvPr id="12" name="TextBox 11">
          <a:extLst>
            <a:ext uri="{FF2B5EF4-FFF2-40B4-BE49-F238E27FC236}">
              <a16:creationId xmlns:a16="http://schemas.microsoft.com/office/drawing/2014/main" id="{611CD9AC-F51B-E041-B9DE-4101A7932A92}"/>
            </a:ext>
          </a:extLst>
        </xdr:cNvPr>
        <xdr:cNvSpPr txBox="1"/>
      </xdr:nvSpPr>
      <xdr:spPr>
        <a:xfrm>
          <a:off x="635000" y="15074900"/>
          <a:ext cx="9753600"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DO NOT ENTER OR MODIFY ANY INFORMATION ON THIS SHEET UNLESS YOU ARE VERY FAMILIAR WITH THE TOOL.</a:t>
          </a:r>
        </a:p>
        <a:p>
          <a:r>
            <a:rPr lang="en-US" sz="1200" b="1"/>
            <a:t>1. </a:t>
          </a:r>
          <a:r>
            <a:rPr lang="en-US" sz="1200"/>
            <a:t>This shows the user how their pre-tax net income may vary with changes in survival rates of your oyster crop and market price; while holding production costs and efficiency constant. This provides the user with a range of reasonable outcomes based on the assumptions they input into the yellow cells on the previous sheets, without having to alter those assumptions.																							</a:t>
          </a:r>
        </a:p>
      </xdr:txBody>
    </xdr:sp>
    <xdr:clientData/>
  </xdr:twoCellAnchor>
  <xdr:twoCellAnchor>
    <xdr:from>
      <xdr:col>13</xdr:col>
      <xdr:colOff>457200</xdr:colOff>
      <xdr:row>69</xdr:row>
      <xdr:rowOff>127000</xdr:rowOff>
    </xdr:from>
    <xdr:to>
      <xdr:col>15</xdr:col>
      <xdr:colOff>304800</xdr:colOff>
      <xdr:row>72</xdr:row>
      <xdr:rowOff>25400</xdr:rowOff>
    </xdr:to>
    <xdr:sp macro="" textlink="">
      <xdr:nvSpPr>
        <xdr:cNvPr id="13" name="Rounded Rectangle 12">
          <a:hlinkClick xmlns:r="http://schemas.openxmlformats.org/officeDocument/2006/relationships" r:id="rId1"/>
          <a:extLst>
            <a:ext uri="{FF2B5EF4-FFF2-40B4-BE49-F238E27FC236}">
              <a16:creationId xmlns:a16="http://schemas.microsoft.com/office/drawing/2014/main" id="{4C9D4FD0-CB49-5D4D-B28A-1063D7A1CF6F}"/>
            </a:ext>
          </a:extLst>
        </xdr:cNvPr>
        <xdr:cNvSpPr/>
      </xdr:nvSpPr>
      <xdr:spPr>
        <a:xfrm>
          <a:off x="8699500" y="16484600"/>
          <a:ext cx="1993900" cy="469900"/>
        </a:xfrm>
        <a:prstGeom prst="roundRect">
          <a:avLst/>
        </a:prstGeom>
        <a:gradFill flip="none" rotWithShape="1">
          <a:gsLst>
            <a:gs pos="0">
              <a:srgbClr val="00505B"/>
            </a:gs>
            <a:gs pos="50000">
              <a:srgbClr val="00738E"/>
            </a:gs>
            <a:gs pos="100000">
              <a:srgbClr val="80C8BD"/>
            </a:gs>
          </a:gsLst>
          <a:lin ang="27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622300</xdr:colOff>
      <xdr:row>70</xdr:row>
      <xdr:rowOff>76200</xdr:rowOff>
    </xdr:from>
    <xdr:to>
      <xdr:col>14</xdr:col>
      <xdr:colOff>105040</xdr:colOff>
      <xdr:row>71</xdr:row>
      <xdr:rowOff>82550</xdr:rowOff>
    </xdr:to>
    <xdr:sp macro="" textlink="">
      <xdr:nvSpPr>
        <xdr:cNvPr id="14" name="Triangle 13">
          <a:hlinkClick xmlns:r="http://schemas.openxmlformats.org/officeDocument/2006/relationships" r:id="rId1"/>
          <a:extLst>
            <a:ext uri="{FF2B5EF4-FFF2-40B4-BE49-F238E27FC236}">
              <a16:creationId xmlns:a16="http://schemas.microsoft.com/office/drawing/2014/main" id="{248864CC-2F64-EF40-B02D-86A885AA3F37}"/>
            </a:ext>
          </a:extLst>
        </xdr:cNvPr>
        <xdr:cNvSpPr/>
      </xdr:nvSpPr>
      <xdr:spPr>
        <a:xfrm rot="5400000">
          <a:off x="8844095" y="16644805"/>
          <a:ext cx="196850" cy="15584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88900</xdr:colOff>
      <xdr:row>70</xdr:row>
      <xdr:rowOff>25400</xdr:rowOff>
    </xdr:from>
    <xdr:to>
      <xdr:col>15</xdr:col>
      <xdr:colOff>292100</xdr:colOff>
      <xdr:row>71</xdr:row>
      <xdr:rowOff>127000</xdr:rowOff>
    </xdr:to>
    <xdr:sp macro="" textlink="">
      <xdr:nvSpPr>
        <xdr:cNvPr id="15" name="TextBox 14">
          <a:hlinkClick xmlns:r="http://schemas.openxmlformats.org/officeDocument/2006/relationships" r:id="rId1"/>
          <a:extLst>
            <a:ext uri="{FF2B5EF4-FFF2-40B4-BE49-F238E27FC236}">
              <a16:creationId xmlns:a16="http://schemas.microsoft.com/office/drawing/2014/main" id="{B6C505D6-5BE1-D744-8D71-029FDE46D060}"/>
            </a:ext>
          </a:extLst>
        </xdr:cNvPr>
        <xdr:cNvSpPr txBox="1"/>
      </xdr:nvSpPr>
      <xdr:spPr>
        <a:xfrm>
          <a:off x="9004300" y="16573500"/>
          <a:ext cx="167640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bg1"/>
              </a:solidFill>
            </a:rPr>
            <a:t>Next: Land Expense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165100</xdr:rowOff>
    </xdr:from>
    <xdr:to>
      <xdr:col>8</xdr:col>
      <xdr:colOff>152400</xdr:colOff>
      <xdr:row>1</xdr:row>
      <xdr:rowOff>736600</xdr:rowOff>
    </xdr:to>
    <xdr:sp macro="" textlink="">
      <xdr:nvSpPr>
        <xdr:cNvPr id="13" name="Round Same Side Corner Rectangle 12">
          <a:extLst>
            <a:ext uri="{FF2B5EF4-FFF2-40B4-BE49-F238E27FC236}">
              <a16:creationId xmlns:a16="http://schemas.microsoft.com/office/drawing/2014/main" id="{67A5C080-9B50-3C4E-881B-87113F65F930}"/>
            </a:ext>
          </a:extLst>
        </xdr:cNvPr>
        <xdr:cNvSpPr/>
      </xdr:nvSpPr>
      <xdr:spPr>
        <a:xfrm>
          <a:off x="635000" y="165100"/>
          <a:ext cx="8839200" cy="762000"/>
        </a:xfrm>
        <a:prstGeom prst="round2SameRect">
          <a:avLst/>
        </a:prstGeom>
        <a:gradFill flip="none" rotWithShape="1">
          <a:gsLst>
            <a:gs pos="0">
              <a:srgbClr val="00505B"/>
            </a:gs>
            <a:gs pos="50000">
              <a:srgbClr val="00738E"/>
            </a:gs>
            <a:gs pos="99000">
              <a:srgbClr val="80C8BD"/>
            </a:gs>
          </a:gsLst>
          <a:lin ang="27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3479800</xdr:colOff>
      <xdr:row>17</xdr:row>
      <xdr:rowOff>114300</xdr:rowOff>
    </xdr:from>
    <xdr:to>
      <xdr:col>7</xdr:col>
      <xdr:colOff>152400</xdr:colOff>
      <xdr:row>20</xdr:row>
      <xdr:rowOff>12700</xdr:rowOff>
    </xdr:to>
    <xdr:sp macro="" textlink="">
      <xdr:nvSpPr>
        <xdr:cNvPr id="12" name="Rounded Rectangle 11">
          <a:hlinkClick xmlns:r="http://schemas.openxmlformats.org/officeDocument/2006/relationships" r:id="rId1"/>
          <a:extLst>
            <a:ext uri="{FF2B5EF4-FFF2-40B4-BE49-F238E27FC236}">
              <a16:creationId xmlns:a16="http://schemas.microsoft.com/office/drawing/2014/main" id="{AE5FB7EF-1D04-DE45-8053-5762F612685D}"/>
            </a:ext>
          </a:extLst>
        </xdr:cNvPr>
        <xdr:cNvSpPr/>
      </xdr:nvSpPr>
      <xdr:spPr>
        <a:xfrm>
          <a:off x="7340600" y="6286500"/>
          <a:ext cx="1917700" cy="469900"/>
        </a:xfrm>
        <a:prstGeom prst="roundRect">
          <a:avLst/>
        </a:prstGeom>
        <a:gradFill flip="none" rotWithShape="1">
          <a:gsLst>
            <a:gs pos="0">
              <a:srgbClr val="00505B"/>
            </a:gs>
            <a:gs pos="50000">
              <a:srgbClr val="00738E"/>
            </a:gs>
            <a:gs pos="100000">
              <a:srgbClr val="80C8BD"/>
            </a:gs>
          </a:gsLst>
          <a:lin ang="27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1</xdr:row>
      <xdr:rowOff>139700</xdr:rowOff>
    </xdr:from>
    <xdr:to>
      <xdr:col>6</xdr:col>
      <xdr:colOff>5092700</xdr:colOff>
      <xdr:row>1</xdr:row>
      <xdr:rowOff>609600</xdr:rowOff>
    </xdr:to>
    <xdr:sp macro="" textlink="">
      <xdr:nvSpPr>
        <xdr:cNvPr id="3" name="TextBox 2">
          <a:extLst>
            <a:ext uri="{FF2B5EF4-FFF2-40B4-BE49-F238E27FC236}">
              <a16:creationId xmlns:a16="http://schemas.microsoft.com/office/drawing/2014/main" id="{135E5B53-8C6A-6047-8225-04EAF92F047F}"/>
            </a:ext>
          </a:extLst>
        </xdr:cNvPr>
        <xdr:cNvSpPr txBox="1"/>
      </xdr:nvSpPr>
      <xdr:spPr>
        <a:xfrm>
          <a:off x="825500" y="330200"/>
          <a:ext cx="8128000" cy="469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000">
              <a:solidFill>
                <a:schemeClr val="bg1"/>
              </a:solidFill>
            </a:rPr>
            <a:t>Land Expense</a:t>
          </a:r>
        </a:p>
      </xdr:txBody>
    </xdr:sp>
    <xdr:clientData/>
  </xdr:twoCellAnchor>
  <xdr:twoCellAnchor>
    <xdr:from>
      <xdr:col>4</xdr:col>
      <xdr:colOff>0</xdr:colOff>
      <xdr:row>6</xdr:row>
      <xdr:rowOff>355600</xdr:rowOff>
    </xdr:from>
    <xdr:to>
      <xdr:col>5</xdr:col>
      <xdr:colOff>38100</xdr:colOff>
      <xdr:row>15</xdr:row>
      <xdr:rowOff>152400</xdr:rowOff>
    </xdr:to>
    <xdr:sp macro="" textlink="">
      <xdr:nvSpPr>
        <xdr:cNvPr id="4" name="Rounded Rectangle 3">
          <a:extLst>
            <a:ext uri="{FF2B5EF4-FFF2-40B4-BE49-F238E27FC236}">
              <a16:creationId xmlns:a16="http://schemas.microsoft.com/office/drawing/2014/main" id="{1B71E779-B60A-A04D-9127-1E4BC1141B93}"/>
            </a:ext>
          </a:extLst>
        </xdr:cNvPr>
        <xdr:cNvSpPr/>
      </xdr:nvSpPr>
      <xdr:spPr>
        <a:xfrm>
          <a:off x="2933700" y="2374900"/>
          <a:ext cx="711200" cy="3543300"/>
        </a:xfrm>
        <a:prstGeom prst="roundRect">
          <a:avLst/>
        </a:prstGeom>
        <a:noFill/>
        <a:ln>
          <a:solidFill>
            <a:srgbClr val="00505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2910</xdr:colOff>
      <xdr:row>2</xdr:row>
      <xdr:rowOff>177800</xdr:rowOff>
    </xdr:from>
    <xdr:to>
      <xdr:col>1</xdr:col>
      <xdr:colOff>158750</xdr:colOff>
      <xdr:row>3</xdr:row>
      <xdr:rowOff>158750</xdr:rowOff>
    </xdr:to>
    <xdr:sp macro="" textlink="">
      <xdr:nvSpPr>
        <xdr:cNvPr id="6" name="Triangle 5">
          <a:extLst>
            <a:ext uri="{FF2B5EF4-FFF2-40B4-BE49-F238E27FC236}">
              <a16:creationId xmlns:a16="http://schemas.microsoft.com/office/drawing/2014/main" id="{B157912C-85F2-834B-8FAA-2773F9F75E44}"/>
            </a:ext>
          </a:extLst>
        </xdr:cNvPr>
        <xdr:cNvSpPr/>
      </xdr:nvSpPr>
      <xdr:spPr>
        <a:xfrm rot="5400000">
          <a:off x="630105" y="1138105"/>
          <a:ext cx="171450" cy="155840"/>
        </a:xfrm>
        <a:prstGeom prst="triangle">
          <a:avLst/>
        </a:prstGeom>
        <a:solidFill>
          <a:srgbClr val="0050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3771900</xdr:colOff>
      <xdr:row>18</xdr:row>
      <xdr:rowOff>0</xdr:rowOff>
    </xdr:from>
    <xdr:to>
      <xdr:col>7</xdr:col>
      <xdr:colOff>76200</xdr:colOff>
      <xdr:row>19</xdr:row>
      <xdr:rowOff>76200</xdr:rowOff>
    </xdr:to>
    <xdr:sp macro="" textlink="">
      <xdr:nvSpPr>
        <xdr:cNvPr id="8" name="TextBox 7">
          <a:hlinkClick xmlns:r="http://schemas.openxmlformats.org/officeDocument/2006/relationships" r:id="rId1"/>
          <a:extLst>
            <a:ext uri="{FF2B5EF4-FFF2-40B4-BE49-F238E27FC236}">
              <a16:creationId xmlns:a16="http://schemas.microsoft.com/office/drawing/2014/main" id="{8906EB56-8F64-B343-9372-CBAF554CF8D4}"/>
            </a:ext>
          </a:extLst>
        </xdr:cNvPr>
        <xdr:cNvSpPr txBox="1"/>
      </xdr:nvSpPr>
      <xdr:spPr>
        <a:xfrm>
          <a:off x="7632700" y="6362700"/>
          <a:ext cx="15494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bg1"/>
              </a:solidFill>
            </a:rPr>
            <a:t>Next: Assumptions</a:t>
          </a:r>
        </a:p>
      </xdr:txBody>
    </xdr:sp>
    <xdr:clientData/>
  </xdr:twoCellAnchor>
  <xdr:twoCellAnchor>
    <xdr:from>
      <xdr:col>6</xdr:col>
      <xdr:colOff>3644900</xdr:colOff>
      <xdr:row>18</xdr:row>
      <xdr:rowOff>57150</xdr:rowOff>
    </xdr:from>
    <xdr:to>
      <xdr:col>6</xdr:col>
      <xdr:colOff>3800740</xdr:colOff>
      <xdr:row>19</xdr:row>
      <xdr:rowOff>63500</xdr:rowOff>
    </xdr:to>
    <xdr:sp macro="" textlink="">
      <xdr:nvSpPr>
        <xdr:cNvPr id="10" name="Triangle 9">
          <a:hlinkClick xmlns:r="http://schemas.openxmlformats.org/officeDocument/2006/relationships" r:id="rId1"/>
          <a:extLst>
            <a:ext uri="{FF2B5EF4-FFF2-40B4-BE49-F238E27FC236}">
              <a16:creationId xmlns:a16="http://schemas.microsoft.com/office/drawing/2014/main" id="{AF00519C-40A9-5A4C-864D-F8E877918948}"/>
            </a:ext>
          </a:extLst>
        </xdr:cNvPr>
        <xdr:cNvSpPr/>
      </xdr:nvSpPr>
      <xdr:spPr>
        <a:xfrm rot="5400000">
          <a:off x="7485195" y="6440355"/>
          <a:ext cx="196850" cy="15584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309694</xdr:colOff>
      <xdr:row>6</xdr:row>
      <xdr:rowOff>84004</xdr:rowOff>
    </xdr:from>
    <xdr:to>
      <xdr:col>4</xdr:col>
      <xdr:colOff>558799</xdr:colOff>
      <xdr:row>6</xdr:row>
      <xdr:rowOff>281213</xdr:rowOff>
    </xdr:to>
    <xdr:sp macro="" textlink="">
      <xdr:nvSpPr>
        <xdr:cNvPr id="11" name="Triangle 10">
          <a:extLst>
            <a:ext uri="{FF2B5EF4-FFF2-40B4-BE49-F238E27FC236}">
              <a16:creationId xmlns:a16="http://schemas.microsoft.com/office/drawing/2014/main" id="{20CA0218-A370-4842-B628-066CB59C2BC9}"/>
            </a:ext>
          </a:extLst>
        </xdr:cNvPr>
        <xdr:cNvSpPr/>
      </xdr:nvSpPr>
      <xdr:spPr>
        <a:xfrm rot="10800000">
          <a:off x="3332294" y="2027104"/>
          <a:ext cx="249105" cy="197209"/>
        </a:xfrm>
        <a:prstGeom prst="triangle">
          <a:avLst/>
        </a:prstGeom>
        <a:solidFill>
          <a:srgbClr val="0050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228600</xdr:colOff>
      <xdr:row>26</xdr:row>
      <xdr:rowOff>171450</xdr:rowOff>
    </xdr:from>
    <xdr:to>
      <xdr:col>13</xdr:col>
      <xdr:colOff>82550</xdr:colOff>
      <xdr:row>36</xdr:row>
      <xdr:rowOff>50800</xdr:rowOff>
    </xdr:to>
    <xdr:sp macro="" textlink="">
      <xdr:nvSpPr>
        <xdr:cNvPr id="14" name="Rounded Rectangle 13">
          <a:extLst>
            <a:ext uri="{FF2B5EF4-FFF2-40B4-BE49-F238E27FC236}">
              <a16:creationId xmlns:a16="http://schemas.microsoft.com/office/drawing/2014/main" id="{BBD9A7DB-58C9-0E4D-A8E9-4E0F0EA77E37}"/>
            </a:ext>
          </a:extLst>
        </xdr:cNvPr>
        <xdr:cNvSpPr/>
      </xdr:nvSpPr>
      <xdr:spPr>
        <a:xfrm>
          <a:off x="6724650" y="6826250"/>
          <a:ext cx="7302500" cy="2152650"/>
        </a:xfrm>
        <a:prstGeom prst="roundRect">
          <a:avLst/>
        </a:prstGeom>
        <a:solidFill>
          <a:srgbClr val="C4EDDD">
            <a:alpha val="17647"/>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0</xdr:rowOff>
    </xdr:from>
    <xdr:to>
      <xdr:col>13</xdr:col>
      <xdr:colOff>152400</xdr:colOff>
      <xdr:row>2</xdr:row>
      <xdr:rowOff>0</xdr:rowOff>
    </xdr:to>
    <xdr:sp macro="" textlink="">
      <xdr:nvSpPr>
        <xdr:cNvPr id="2" name="Round Same Side Corner Rectangle 1">
          <a:extLst>
            <a:ext uri="{FF2B5EF4-FFF2-40B4-BE49-F238E27FC236}">
              <a16:creationId xmlns:a16="http://schemas.microsoft.com/office/drawing/2014/main" id="{16D42030-677A-4C4B-AE10-7ACF28C9C852}"/>
            </a:ext>
          </a:extLst>
        </xdr:cNvPr>
        <xdr:cNvSpPr/>
      </xdr:nvSpPr>
      <xdr:spPr>
        <a:xfrm>
          <a:off x="673100" y="215900"/>
          <a:ext cx="14287500" cy="762000"/>
        </a:xfrm>
        <a:prstGeom prst="round2SameRect">
          <a:avLst/>
        </a:prstGeom>
        <a:gradFill flip="none" rotWithShape="1">
          <a:gsLst>
            <a:gs pos="0">
              <a:srgbClr val="00505B"/>
            </a:gs>
            <a:gs pos="50000">
              <a:srgbClr val="00738E"/>
            </a:gs>
            <a:gs pos="99000">
              <a:srgbClr val="80C8BD"/>
            </a:gs>
          </a:gsLst>
          <a:lin ang="27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153996</xdr:colOff>
      <xdr:row>1</xdr:row>
      <xdr:rowOff>127000</xdr:rowOff>
    </xdr:from>
    <xdr:to>
      <xdr:col>8</xdr:col>
      <xdr:colOff>965199</xdr:colOff>
      <xdr:row>1</xdr:row>
      <xdr:rowOff>660400</xdr:rowOff>
    </xdr:to>
    <xdr:sp macro="" textlink="">
      <xdr:nvSpPr>
        <xdr:cNvPr id="3" name="TextBox 2">
          <a:extLst>
            <a:ext uri="{FF2B5EF4-FFF2-40B4-BE49-F238E27FC236}">
              <a16:creationId xmlns:a16="http://schemas.microsoft.com/office/drawing/2014/main" id="{D69E3799-4D9E-5A4A-AF5D-9D8E96CD870E}"/>
            </a:ext>
          </a:extLst>
        </xdr:cNvPr>
        <xdr:cNvSpPr txBox="1"/>
      </xdr:nvSpPr>
      <xdr:spPr>
        <a:xfrm>
          <a:off x="827096" y="342900"/>
          <a:ext cx="7631103"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000">
              <a:solidFill>
                <a:schemeClr val="bg1"/>
              </a:solidFill>
            </a:rPr>
            <a:t>Cage Culture</a:t>
          </a:r>
          <a:r>
            <a:rPr lang="en-US" sz="2000" baseline="0">
              <a:solidFill>
                <a:schemeClr val="bg1"/>
              </a:solidFill>
            </a:rPr>
            <a:t> of Oysters</a:t>
          </a:r>
          <a:endParaRPr lang="en-US" sz="2000">
            <a:solidFill>
              <a:schemeClr val="bg1"/>
            </a:solidFill>
          </a:endParaRPr>
        </a:p>
      </xdr:txBody>
    </xdr:sp>
    <xdr:clientData/>
  </xdr:twoCellAnchor>
  <xdr:twoCellAnchor>
    <xdr:from>
      <xdr:col>4</xdr:col>
      <xdr:colOff>12700</xdr:colOff>
      <xdr:row>6</xdr:row>
      <xdr:rowOff>63500</xdr:rowOff>
    </xdr:from>
    <xdr:to>
      <xdr:col>5</xdr:col>
      <xdr:colOff>38100</xdr:colOff>
      <xdr:row>20</xdr:row>
      <xdr:rowOff>177800</xdr:rowOff>
    </xdr:to>
    <xdr:sp macro="" textlink="">
      <xdr:nvSpPr>
        <xdr:cNvPr id="4" name="Rounded Rectangle 3">
          <a:extLst>
            <a:ext uri="{FF2B5EF4-FFF2-40B4-BE49-F238E27FC236}">
              <a16:creationId xmlns:a16="http://schemas.microsoft.com/office/drawing/2014/main" id="{E6F83160-CDD2-9142-925C-4CD435BB61E2}"/>
            </a:ext>
          </a:extLst>
        </xdr:cNvPr>
        <xdr:cNvSpPr/>
      </xdr:nvSpPr>
      <xdr:spPr>
        <a:xfrm>
          <a:off x="4114800" y="1524000"/>
          <a:ext cx="914400" cy="3454400"/>
        </a:xfrm>
        <a:prstGeom prst="roundRect">
          <a:avLst/>
        </a:prstGeom>
        <a:noFill/>
        <a:ln>
          <a:solidFill>
            <a:srgbClr val="00505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342900</xdr:colOff>
      <xdr:row>5</xdr:row>
      <xdr:rowOff>25400</xdr:rowOff>
    </xdr:from>
    <xdr:to>
      <xdr:col>4</xdr:col>
      <xdr:colOff>592005</xdr:colOff>
      <xdr:row>6</xdr:row>
      <xdr:rowOff>19409</xdr:rowOff>
    </xdr:to>
    <xdr:sp macro="" textlink="">
      <xdr:nvSpPr>
        <xdr:cNvPr id="6" name="Triangle 5">
          <a:extLst>
            <a:ext uri="{FF2B5EF4-FFF2-40B4-BE49-F238E27FC236}">
              <a16:creationId xmlns:a16="http://schemas.microsoft.com/office/drawing/2014/main" id="{828CAB8E-DFAF-BD43-8A25-5BD8596FB581}"/>
            </a:ext>
          </a:extLst>
        </xdr:cNvPr>
        <xdr:cNvSpPr/>
      </xdr:nvSpPr>
      <xdr:spPr>
        <a:xfrm rot="10800000">
          <a:off x="4508500" y="1714500"/>
          <a:ext cx="249105" cy="222609"/>
        </a:xfrm>
        <a:prstGeom prst="triangle">
          <a:avLst/>
        </a:prstGeom>
        <a:solidFill>
          <a:srgbClr val="0050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25400</xdr:colOff>
      <xdr:row>26</xdr:row>
      <xdr:rowOff>101600</xdr:rowOff>
    </xdr:from>
    <xdr:to>
      <xdr:col>5</xdr:col>
      <xdr:colOff>50800</xdr:colOff>
      <xdr:row>31</xdr:row>
      <xdr:rowOff>139700</xdr:rowOff>
    </xdr:to>
    <xdr:sp macro="" textlink="">
      <xdr:nvSpPr>
        <xdr:cNvPr id="7" name="Rounded Rectangle 6">
          <a:extLst>
            <a:ext uri="{FF2B5EF4-FFF2-40B4-BE49-F238E27FC236}">
              <a16:creationId xmlns:a16="http://schemas.microsoft.com/office/drawing/2014/main" id="{357F4345-479C-4841-A19D-8BD379CB69F0}"/>
            </a:ext>
          </a:extLst>
        </xdr:cNvPr>
        <xdr:cNvSpPr/>
      </xdr:nvSpPr>
      <xdr:spPr>
        <a:xfrm>
          <a:off x="3924300" y="6756400"/>
          <a:ext cx="914400" cy="1193800"/>
        </a:xfrm>
        <a:prstGeom prst="roundRect">
          <a:avLst/>
        </a:prstGeom>
        <a:noFill/>
        <a:ln>
          <a:solidFill>
            <a:srgbClr val="00505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342900</xdr:colOff>
      <xdr:row>25</xdr:row>
      <xdr:rowOff>25400</xdr:rowOff>
    </xdr:from>
    <xdr:to>
      <xdr:col>4</xdr:col>
      <xdr:colOff>592005</xdr:colOff>
      <xdr:row>26</xdr:row>
      <xdr:rowOff>6709</xdr:rowOff>
    </xdr:to>
    <xdr:sp macro="" textlink="">
      <xdr:nvSpPr>
        <xdr:cNvPr id="8" name="Triangle 7">
          <a:extLst>
            <a:ext uri="{FF2B5EF4-FFF2-40B4-BE49-F238E27FC236}">
              <a16:creationId xmlns:a16="http://schemas.microsoft.com/office/drawing/2014/main" id="{9B5E9838-FF1A-7841-BE30-5F40254AD95E}"/>
            </a:ext>
          </a:extLst>
        </xdr:cNvPr>
        <xdr:cNvSpPr/>
      </xdr:nvSpPr>
      <xdr:spPr>
        <a:xfrm rot="10800000">
          <a:off x="4241800" y="6438900"/>
          <a:ext cx="249105" cy="222609"/>
        </a:xfrm>
        <a:prstGeom prst="triangle">
          <a:avLst/>
        </a:prstGeom>
        <a:solidFill>
          <a:srgbClr val="0050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50800</xdr:colOff>
      <xdr:row>6</xdr:row>
      <xdr:rowOff>88900</xdr:rowOff>
    </xdr:from>
    <xdr:to>
      <xdr:col>10</xdr:col>
      <xdr:colOff>965200</xdr:colOff>
      <xdr:row>25</xdr:row>
      <xdr:rowOff>139700</xdr:rowOff>
    </xdr:to>
    <xdr:sp macro="" textlink="">
      <xdr:nvSpPr>
        <xdr:cNvPr id="9" name="Rounded Rectangle 8">
          <a:extLst>
            <a:ext uri="{FF2B5EF4-FFF2-40B4-BE49-F238E27FC236}">
              <a16:creationId xmlns:a16="http://schemas.microsoft.com/office/drawing/2014/main" id="{6B043726-951F-BB4D-8FFB-AF23CA41AE57}"/>
            </a:ext>
          </a:extLst>
        </xdr:cNvPr>
        <xdr:cNvSpPr/>
      </xdr:nvSpPr>
      <xdr:spPr>
        <a:xfrm>
          <a:off x="11226800" y="2006600"/>
          <a:ext cx="914400" cy="4546600"/>
        </a:xfrm>
        <a:prstGeom prst="roundRect">
          <a:avLst/>
        </a:prstGeom>
        <a:noFill/>
        <a:ln>
          <a:solidFill>
            <a:srgbClr val="00505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381000</xdr:colOff>
      <xdr:row>5</xdr:row>
      <xdr:rowOff>25400</xdr:rowOff>
    </xdr:from>
    <xdr:to>
      <xdr:col>10</xdr:col>
      <xdr:colOff>630105</xdr:colOff>
      <xdr:row>6</xdr:row>
      <xdr:rowOff>19409</xdr:rowOff>
    </xdr:to>
    <xdr:sp macro="" textlink="">
      <xdr:nvSpPr>
        <xdr:cNvPr id="10" name="Triangle 9">
          <a:extLst>
            <a:ext uri="{FF2B5EF4-FFF2-40B4-BE49-F238E27FC236}">
              <a16:creationId xmlns:a16="http://schemas.microsoft.com/office/drawing/2014/main" id="{6BAB88B5-9346-D741-A1EC-965A0DD618AF}"/>
            </a:ext>
          </a:extLst>
        </xdr:cNvPr>
        <xdr:cNvSpPr/>
      </xdr:nvSpPr>
      <xdr:spPr>
        <a:xfrm rot="10800000">
          <a:off x="11557000" y="1714500"/>
          <a:ext cx="249105" cy="222609"/>
        </a:xfrm>
        <a:prstGeom prst="triangle">
          <a:avLst/>
        </a:prstGeom>
        <a:solidFill>
          <a:srgbClr val="0050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381000</xdr:colOff>
      <xdr:row>40</xdr:row>
      <xdr:rowOff>12700</xdr:rowOff>
    </xdr:from>
    <xdr:to>
      <xdr:col>12</xdr:col>
      <xdr:colOff>2298700</xdr:colOff>
      <xdr:row>42</xdr:row>
      <xdr:rowOff>101600</xdr:rowOff>
    </xdr:to>
    <xdr:sp macro="" textlink="">
      <xdr:nvSpPr>
        <xdr:cNvPr id="11" name="Rounded Rectangle 10">
          <a:hlinkClick xmlns:r="http://schemas.openxmlformats.org/officeDocument/2006/relationships" r:id="rId1"/>
          <a:extLst>
            <a:ext uri="{FF2B5EF4-FFF2-40B4-BE49-F238E27FC236}">
              <a16:creationId xmlns:a16="http://schemas.microsoft.com/office/drawing/2014/main" id="{03E6CC65-CBC7-BF43-8CEB-07CE99E14F5B}"/>
            </a:ext>
          </a:extLst>
        </xdr:cNvPr>
        <xdr:cNvSpPr/>
      </xdr:nvSpPr>
      <xdr:spPr>
        <a:xfrm>
          <a:off x="12725400" y="9906000"/>
          <a:ext cx="1917700" cy="469900"/>
        </a:xfrm>
        <a:prstGeom prst="roundRect">
          <a:avLst/>
        </a:prstGeom>
        <a:gradFill flip="none" rotWithShape="1">
          <a:gsLst>
            <a:gs pos="0">
              <a:srgbClr val="00505B"/>
            </a:gs>
            <a:gs pos="50000">
              <a:srgbClr val="00738E"/>
            </a:gs>
            <a:gs pos="100000">
              <a:srgbClr val="80C8BD"/>
            </a:gs>
          </a:gsLst>
          <a:lin ang="27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673100</xdr:colOff>
      <xdr:row>40</xdr:row>
      <xdr:rowOff>88900</xdr:rowOff>
    </xdr:from>
    <xdr:to>
      <xdr:col>12</xdr:col>
      <xdr:colOff>2222500</xdr:colOff>
      <xdr:row>41</xdr:row>
      <xdr:rowOff>165100</xdr:rowOff>
    </xdr:to>
    <xdr:sp macro="" textlink="">
      <xdr:nvSpPr>
        <xdr:cNvPr id="12" name="TextBox 11">
          <a:hlinkClick xmlns:r="http://schemas.openxmlformats.org/officeDocument/2006/relationships" r:id="rId1"/>
          <a:extLst>
            <a:ext uri="{FF2B5EF4-FFF2-40B4-BE49-F238E27FC236}">
              <a16:creationId xmlns:a16="http://schemas.microsoft.com/office/drawing/2014/main" id="{3897495E-C01B-8449-87A0-6E891784BF97}"/>
            </a:ext>
          </a:extLst>
        </xdr:cNvPr>
        <xdr:cNvSpPr txBox="1"/>
      </xdr:nvSpPr>
      <xdr:spPr>
        <a:xfrm>
          <a:off x="13017500" y="9982200"/>
          <a:ext cx="15494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bg1"/>
              </a:solidFill>
            </a:rPr>
            <a:t>Next: Capital Cost</a:t>
          </a:r>
        </a:p>
      </xdr:txBody>
    </xdr:sp>
    <xdr:clientData/>
  </xdr:twoCellAnchor>
  <xdr:twoCellAnchor>
    <xdr:from>
      <xdr:col>12</xdr:col>
      <xdr:colOff>546100</xdr:colOff>
      <xdr:row>40</xdr:row>
      <xdr:rowOff>146050</xdr:rowOff>
    </xdr:from>
    <xdr:to>
      <xdr:col>12</xdr:col>
      <xdr:colOff>701940</xdr:colOff>
      <xdr:row>41</xdr:row>
      <xdr:rowOff>152400</xdr:rowOff>
    </xdr:to>
    <xdr:sp macro="" textlink="">
      <xdr:nvSpPr>
        <xdr:cNvPr id="13" name="Triangle 12">
          <a:hlinkClick xmlns:r="http://schemas.openxmlformats.org/officeDocument/2006/relationships" r:id="rId1"/>
          <a:extLst>
            <a:ext uri="{FF2B5EF4-FFF2-40B4-BE49-F238E27FC236}">
              <a16:creationId xmlns:a16="http://schemas.microsoft.com/office/drawing/2014/main" id="{7F8FDA8A-742A-FC49-8544-5B1D532CF54E}"/>
            </a:ext>
          </a:extLst>
        </xdr:cNvPr>
        <xdr:cNvSpPr/>
      </xdr:nvSpPr>
      <xdr:spPr>
        <a:xfrm rot="5400000">
          <a:off x="12869995" y="10059855"/>
          <a:ext cx="196850" cy="15584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635000</xdr:colOff>
      <xdr:row>1</xdr:row>
      <xdr:rowOff>50800</xdr:rowOff>
    </xdr:from>
    <xdr:to>
      <xdr:col>15</xdr:col>
      <xdr:colOff>469900</xdr:colOff>
      <xdr:row>2</xdr:row>
      <xdr:rowOff>50800</xdr:rowOff>
    </xdr:to>
    <xdr:sp macro="" textlink="">
      <xdr:nvSpPr>
        <xdr:cNvPr id="3" name="Round Same Side Corner Rectangle 2">
          <a:extLst>
            <a:ext uri="{FF2B5EF4-FFF2-40B4-BE49-F238E27FC236}">
              <a16:creationId xmlns:a16="http://schemas.microsoft.com/office/drawing/2014/main" id="{052C60AC-6A93-A443-8C9D-1747AA29774C}"/>
            </a:ext>
          </a:extLst>
        </xdr:cNvPr>
        <xdr:cNvSpPr/>
      </xdr:nvSpPr>
      <xdr:spPr>
        <a:xfrm>
          <a:off x="635000" y="241300"/>
          <a:ext cx="10960100" cy="762000"/>
        </a:xfrm>
        <a:prstGeom prst="round2SameRect">
          <a:avLst/>
        </a:prstGeom>
        <a:gradFill flip="none" rotWithShape="1">
          <a:gsLst>
            <a:gs pos="0">
              <a:srgbClr val="00505B"/>
            </a:gs>
            <a:gs pos="50000">
              <a:srgbClr val="00738E"/>
            </a:gs>
            <a:gs pos="99000">
              <a:srgbClr val="80C8BD"/>
            </a:gs>
          </a:gsLst>
          <a:lin ang="27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115896</xdr:colOff>
      <xdr:row>1</xdr:row>
      <xdr:rowOff>190500</xdr:rowOff>
    </xdr:from>
    <xdr:to>
      <xdr:col>11</xdr:col>
      <xdr:colOff>812799</xdr:colOff>
      <xdr:row>1</xdr:row>
      <xdr:rowOff>723900</xdr:rowOff>
    </xdr:to>
    <xdr:sp macro="" textlink="">
      <xdr:nvSpPr>
        <xdr:cNvPr id="4" name="TextBox 3">
          <a:extLst>
            <a:ext uri="{FF2B5EF4-FFF2-40B4-BE49-F238E27FC236}">
              <a16:creationId xmlns:a16="http://schemas.microsoft.com/office/drawing/2014/main" id="{024EE37F-FAEB-FE4F-86CA-92AE53E8FDB5}"/>
            </a:ext>
          </a:extLst>
        </xdr:cNvPr>
        <xdr:cNvSpPr txBox="1"/>
      </xdr:nvSpPr>
      <xdr:spPr>
        <a:xfrm>
          <a:off x="788996" y="381000"/>
          <a:ext cx="7631103"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000">
              <a:solidFill>
                <a:schemeClr val="bg1"/>
              </a:solidFill>
            </a:rPr>
            <a:t>Capital Cost and Lease Bottom Revitalization</a:t>
          </a:r>
        </a:p>
      </xdr:txBody>
    </xdr:sp>
    <xdr:clientData/>
  </xdr:twoCellAnchor>
  <xdr:twoCellAnchor>
    <xdr:from>
      <xdr:col>3</xdr:col>
      <xdr:colOff>152400</xdr:colOff>
      <xdr:row>8</xdr:row>
      <xdr:rowOff>342900</xdr:rowOff>
    </xdr:from>
    <xdr:to>
      <xdr:col>7</xdr:col>
      <xdr:colOff>165100</xdr:colOff>
      <xdr:row>22</xdr:row>
      <xdr:rowOff>177800</xdr:rowOff>
    </xdr:to>
    <xdr:sp macro="" textlink="">
      <xdr:nvSpPr>
        <xdr:cNvPr id="5" name="Rounded Rectangle 4">
          <a:extLst>
            <a:ext uri="{FF2B5EF4-FFF2-40B4-BE49-F238E27FC236}">
              <a16:creationId xmlns:a16="http://schemas.microsoft.com/office/drawing/2014/main" id="{A957807F-7854-8943-BC81-AC1959D65D35}"/>
            </a:ext>
          </a:extLst>
        </xdr:cNvPr>
        <xdr:cNvSpPr/>
      </xdr:nvSpPr>
      <xdr:spPr>
        <a:xfrm>
          <a:off x="2806700" y="2552700"/>
          <a:ext cx="2438400" cy="3289300"/>
        </a:xfrm>
        <a:prstGeom prst="roundRect">
          <a:avLst/>
        </a:prstGeom>
        <a:noFill/>
        <a:ln>
          <a:solidFill>
            <a:srgbClr val="00505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368300</xdr:colOff>
      <xdr:row>8</xdr:row>
      <xdr:rowOff>25400</xdr:rowOff>
    </xdr:from>
    <xdr:to>
      <xdr:col>5</xdr:col>
      <xdr:colOff>617405</xdr:colOff>
      <xdr:row>8</xdr:row>
      <xdr:rowOff>248009</xdr:rowOff>
    </xdr:to>
    <xdr:sp macro="" textlink="">
      <xdr:nvSpPr>
        <xdr:cNvPr id="7" name="Triangle 6">
          <a:extLst>
            <a:ext uri="{FF2B5EF4-FFF2-40B4-BE49-F238E27FC236}">
              <a16:creationId xmlns:a16="http://schemas.microsoft.com/office/drawing/2014/main" id="{AA6D9866-6764-574D-A7F8-FA0C9D0DC214}"/>
            </a:ext>
          </a:extLst>
        </xdr:cNvPr>
        <xdr:cNvSpPr/>
      </xdr:nvSpPr>
      <xdr:spPr>
        <a:xfrm rot="10800000">
          <a:off x="3860800" y="2184400"/>
          <a:ext cx="249105" cy="222609"/>
        </a:xfrm>
        <a:prstGeom prst="triangle">
          <a:avLst/>
        </a:prstGeom>
        <a:solidFill>
          <a:srgbClr val="0050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723900</xdr:colOff>
      <xdr:row>7</xdr:row>
      <xdr:rowOff>165100</xdr:rowOff>
    </xdr:from>
    <xdr:to>
      <xdr:col>13</xdr:col>
      <xdr:colOff>152400</xdr:colOff>
      <xdr:row>22</xdr:row>
      <xdr:rowOff>177800</xdr:rowOff>
    </xdr:to>
    <xdr:sp macro="" textlink="">
      <xdr:nvSpPr>
        <xdr:cNvPr id="8" name="Rounded Rectangle 7">
          <a:extLst>
            <a:ext uri="{FF2B5EF4-FFF2-40B4-BE49-F238E27FC236}">
              <a16:creationId xmlns:a16="http://schemas.microsoft.com/office/drawing/2014/main" id="{D4E8BAF6-EF7B-2547-AEF3-E11FF74E3DB6}"/>
            </a:ext>
          </a:extLst>
        </xdr:cNvPr>
        <xdr:cNvSpPr/>
      </xdr:nvSpPr>
      <xdr:spPr>
        <a:xfrm>
          <a:off x="6997700" y="2197100"/>
          <a:ext cx="2997200" cy="3657600"/>
        </a:xfrm>
        <a:prstGeom prst="roundRect">
          <a:avLst/>
        </a:prstGeom>
        <a:noFill/>
        <a:ln>
          <a:solidFill>
            <a:srgbClr val="00505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292100</xdr:colOff>
      <xdr:row>6</xdr:row>
      <xdr:rowOff>38100</xdr:rowOff>
    </xdr:from>
    <xdr:to>
      <xdr:col>11</xdr:col>
      <xdr:colOff>541205</xdr:colOff>
      <xdr:row>7</xdr:row>
      <xdr:rowOff>70209</xdr:rowOff>
    </xdr:to>
    <xdr:sp macro="" textlink="">
      <xdr:nvSpPr>
        <xdr:cNvPr id="9" name="Triangle 8">
          <a:extLst>
            <a:ext uri="{FF2B5EF4-FFF2-40B4-BE49-F238E27FC236}">
              <a16:creationId xmlns:a16="http://schemas.microsoft.com/office/drawing/2014/main" id="{E6685B1E-9609-8F49-9586-6F314D229338}"/>
            </a:ext>
          </a:extLst>
        </xdr:cNvPr>
        <xdr:cNvSpPr/>
      </xdr:nvSpPr>
      <xdr:spPr>
        <a:xfrm rot="10800000">
          <a:off x="8267700" y="1879600"/>
          <a:ext cx="249105" cy="222609"/>
        </a:xfrm>
        <a:prstGeom prst="triangle">
          <a:avLst/>
        </a:prstGeom>
        <a:solidFill>
          <a:srgbClr val="0050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165100</xdr:colOff>
      <xdr:row>29</xdr:row>
      <xdr:rowOff>215900</xdr:rowOff>
    </xdr:from>
    <xdr:to>
      <xdr:col>7</xdr:col>
      <xdr:colOff>177800</xdr:colOff>
      <xdr:row>47</xdr:row>
      <xdr:rowOff>127000</xdr:rowOff>
    </xdr:to>
    <xdr:sp macro="" textlink="">
      <xdr:nvSpPr>
        <xdr:cNvPr id="10" name="Rounded Rectangle 9">
          <a:extLst>
            <a:ext uri="{FF2B5EF4-FFF2-40B4-BE49-F238E27FC236}">
              <a16:creationId xmlns:a16="http://schemas.microsoft.com/office/drawing/2014/main" id="{E7DE3779-56F6-3E44-82DD-71B6C7D72870}"/>
            </a:ext>
          </a:extLst>
        </xdr:cNvPr>
        <xdr:cNvSpPr/>
      </xdr:nvSpPr>
      <xdr:spPr>
        <a:xfrm>
          <a:off x="2819400" y="7035800"/>
          <a:ext cx="2438400" cy="4025900"/>
        </a:xfrm>
        <a:prstGeom prst="roundRect">
          <a:avLst/>
        </a:prstGeom>
        <a:noFill/>
        <a:ln>
          <a:solidFill>
            <a:srgbClr val="00505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838200</xdr:colOff>
      <xdr:row>28</xdr:row>
      <xdr:rowOff>63500</xdr:rowOff>
    </xdr:from>
    <xdr:to>
      <xdr:col>13</xdr:col>
      <xdr:colOff>88900</xdr:colOff>
      <xdr:row>47</xdr:row>
      <xdr:rowOff>139700</xdr:rowOff>
    </xdr:to>
    <xdr:sp macro="" textlink="">
      <xdr:nvSpPr>
        <xdr:cNvPr id="11" name="Rounded Rectangle 10">
          <a:extLst>
            <a:ext uri="{FF2B5EF4-FFF2-40B4-BE49-F238E27FC236}">
              <a16:creationId xmlns:a16="http://schemas.microsoft.com/office/drawing/2014/main" id="{A3941A2A-A96C-7F42-9D10-279CF7B5386B}"/>
            </a:ext>
          </a:extLst>
        </xdr:cNvPr>
        <xdr:cNvSpPr/>
      </xdr:nvSpPr>
      <xdr:spPr>
        <a:xfrm>
          <a:off x="7112000" y="6680200"/>
          <a:ext cx="2819400" cy="4394200"/>
        </a:xfrm>
        <a:prstGeom prst="roundRect">
          <a:avLst/>
        </a:prstGeom>
        <a:noFill/>
        <a:ln>
          <a:solidFill>
            <a:srgbClr val="00505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292100</xdr:colOff>
      <xdr:row>28</xdr:row>
      <xdr:rowOff>101600</xdr:rowOff>
    </xdr:from>
    <xdr:to>
      <xdr:col>5</xdr:col>
      <xdr:colOff>541205</xdr:colOff>
      <xdr:row>29</xdr:row>
      <xdr:rowOff>121009</xdr:rowOff>
    </xdr:to>
    <xdr:sp macro="" textlink="">
      <xdr:nvSpPr>
        <xdr:cNvPr id="12" name="Triangle 11">
          <a:extLst>
            <a:ext uri="{FF2B5EF4-FFF2-40B4-BE49-F238E27FC236}">
              <a16:creationId xmlns:a16="http://schemas.microsoft.com/office/drawing/2014/main" id="{435758B2-384C-AF4E-A5AF-812CE6135A9E}"/>
            </a:ext>
          </a:extLst>
        </xdr:cNvPr>
        <xdr:cNvSpPr/>
      </xdr:nvSpPr>
      <xdr:spPr>
        <a:xfrm rot="10800000">
          <a:off x="3848100" y="6921500"/>
          <a:ext cx="249105" cy="222609"/>
        </a:xfrm>
        <a:prstGeom prst="triangle">
          <a:avLst/>
        </a:prstGeom>
        <a:solidFill>
          <a:srgbClr val="0050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444500</xdr:colOff>
      <xdr:row>26</xdr:row>
      <xdr:rowOff>165100</xdr:rowOff>
    </xdr:from>
    <xdr:to>
      <xdr:col>11</xdr:col>
      <xdr:colOff>693605</xdr:colOff>
      <xdr:row>27</xdr:row>
      <xdr:rowOff>184509</xdr:rowOff>
    </xdr:to>
    <xdr:sp macro="" textlink="">
      <xdr:nvSpPr>
        <xdr:cNvPr id="13" name="Triangle 12">
          <a:extLst>
            <a:ext uri="{FF2B5EF4-FFF2-40B4-BE49-F238E27FC236}">
              <a16:creationId xmlns:a16="http://schemas.microsoft.com/office/drawing/2014/main" id="{E3D43944-E9C2-0D49-9367-FE4DE3F250C7}"/>
            </a:ext>
          </a:extLst>
        </xdr:cNvPr>
        <xdr:cNvSpPr/>
      </xdr:nvSpPr>
      <xdr:spPr>
        <a:xfrm rot="10800000">
          <a:off x="8420100" y="6578600"/>
          <a:ext cx="249105" cy="222609"/>
        </a:xfrm>
        <a:prstGeom prst="triangle">
          <a:avLst/>
        </a:prstGeom>
        <a:solidFill>
          <a:srgbClr val="0050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304800</xdr:colOff>
      <xdr:row>54</xdr:row>
      <xdr:rowOff>101600</xdr:rowOff>
    </xdr:from>
    <xdr:to>
      <xdr:col>15</xdr:col>
      <xdr:colOff>317500</xdr:colOff>
      <xdr:row>57</xdr:row>
      <xdr:rowOff>0</xdr:rowOff>
    </xdr:to>
    <xdr:sp macro="" textlink="">
      <xdr:nvSpPr>
        <xdr:cNvPr id="14" name="Rounded Rectangle 13">
          <a:hlinkClick xmlns:r="http://schemas.openxmlformats.org/officeDocument/2006/relationships" r:id="rId1"/>
          <a:extLst>
            <a:ext uri="{FF2B5EF4-FFF2-40B4-BE49-F238E27FC236}">
              <a16:creationId xmlns:a16="http://schemas.microsoft.com/office/drawing/2014/main" id="{BD88E589-D929-8F47-A017-743669C6F752}"/>
            </a:ext>
          </a:extLst>
        </xdr:cNvPr>
        <xdr:cNvSpPr/>
      </xdr:nvSpPr>
      <xdr:spPr>
        <a:xfrm>
          <a:off x="9042400" y="12941300"/>
          <a:ext cx="2400300" cy="469900"/>
        </a:xfrm>
        <a:prstGeom prst="roundRect">
          <a:avLst/>
        </a:prstGeom>
        <a:gradFill flip="none" rotWithShape="1">
          <a:gsLst>
            <a:gs pos="0">
              <a:srgbClr val="00505B"/>
            </a:gs>
            <a:gs pos="50000">
              <a:srgbClr val="00738E"/>
            </a:gs>
            <a:gs pos="100000">
              <a:srgbClr val="80C8BD"/>
            </a:gs>
          </a:gsLst>
          <a:lin ang="27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685800</xdr:colOff>
      <xdr:row>54</xdr:row>
      <xdr:rowOff>177800</xdr:rowOff>
    </xdr:from>
    <xdr:to>
      <xdr:col>15</xdr:col>
      <xdr:colOff>381000</xdr:colOff>
      <xdr:row>56</xdr:row>
      <xdr:rowOff>63500</xdr:rowOff>
    </xdr:to>
    <xdr:sp macro="" textlink="">
      <xdr:nvSpPr>
        <xdr:cNvPr id="15" name="TextBox 14">
          <a:hlinkClick xmlns:r="http://schemas.openxmlformats.org/officeDocument/2006/relationships" r:id="rId1"/>
          <a:extLst>
            <a:ext uri="{FF2B5EF4-FFF2-40B4-BE49-F238E27FC236}">
              <a16:creationId xmlns:a16="http://schemas.microsoft.com/office/drawing/2014/main" id="{8323C240-855E-D040-B067-157D2A3A9A36}"/>
            </a:ext>
          </a:extLst>
        </xdr:cNvPr>
        <xdr:cNvSpPr txBox="1"/>
      </xdr:nvSpPr>
      <xdr:spPr>
        <a:xfrm>
          <a:off x="9423400" y="13017500"/>
          <a:ext cx="20828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bg1"/>
              </a:solidFill>
            </a:rPr>
            <a:t>Next: Enterprise Budget</a:t>
          </a:r>
        </a:p>
      </xdr:txBody>
    </xdr:sp>
    <xdr:clientData/>
  </xdr:twoCellAnchor>
  <xdr:twoCellAnchor>
    <xdr:from>
      <xdr:col>12</xdr:col>
      <xdr:colOff>495300</xdr:colOff>
      <xdr:row>55</xdr:row>
      <xdr:rowOff>44450</xdr:rowOff>
    </xdr:from>
    <xdr:to>
      <xdr:col>12</xdr:col>
      <xdr:colOff>651140</xdr:colOff>
      <xdr:row>56</xdr:row>
      <xdr:rowOff>50800</xdr:rowOff>
    </xdr:to>
    <xdr:sp macro="" textlink="">
      <xdr:nvSpPr>
        <xdr:cNvPr id="16" name="Triangle 15">
          <a:hlinkClick xmlns:r="http://schemas.openxmlformats.org/officeDocument/2006/relationships" r:id="rId1"/>
          <a:extLst>
            <a:ext uri="{FF2B5EF4-FFF2-40B4-BE49-F238E27FC236}">
              <a16:creationId xmlns:a16="http://schemas.microsoft.com/office/drawing/2014/main" id="{38C304AE-BE71-D446-8D35-CB0D92F0077D}"/>
            </a:ext>
          </a:extLst>
        </xdr:cNvPr>
        <xdr:cNvSpPr/>
      </xdr:nvSpPr>
      <xdr:spPr>
        <a:xfrm rot="5400000">
          <a:off x="9212395" y="13095155"/>
          <a:ext cx="196850" cy="15584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355600</xdr:colOff>
      <xdr:row>64</xdr:row>
      <xdr:rowOff>50800</xdr:rowOff>
    </xdr:from>
    <xdr:to>
      <xdr:col>9</xdr:col>
      <xdr:colOff>482600</xdr:colOff>
      <xdr:row>66</xdr:row>
      <xdr:rowOff>139700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D329AA85-7901-3947-AEE1-0B04BB9D2C56}"/>
            </a:ext>
          </a:extLst>
        </xdr:cNvPr>
        <xdr:cNvSpPr/>
      </xdr:nvSpPr>
      <xdr:spPr>
        <a:xfrm>
          <a:off x="6642100" y="17551400"/>
          <a:ext cx="2159000" cy="469900"/>
        </a:xfrm>
        <a:prstGeom prst="roundRect">
          <a:avLst/>
        </a:prstGeom>
        <a:gradFill flip="none" rotWithShape="1">
          <a:gsLst>
            <a:gs pos="0">
              <a:srgbClr val="00505B"/>
            </a:gs>
            <a:gs pos="50000">
              <a:srgbClr val="00738E"/>
            </a:gs>
            <a:gs pos="100000">
              <a:srgbClr val="80C8BD"/>
            </a:gs>
          </a:gsLst>
          <a:lin ang="27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749300</xdr:colOff>
      <xdr:row>64</xdr:row>
      <xdr:rowOff>139700</xdr:rowOff>
    </xdr:from>
    <xdr:to>
      <xdr:col>9</xdr:col>
      <xdr:colOff>965200</xdr:colOff>
      <xdr:row>66</xdr:row>
      <xdr:rowOff>76200</xdr:rowOff>
    </xdr:to>
    <xdr:sp macro="" textlink="">
      <xdr:nvSpPr>
        <xdr:cNvPr id="3" name="TextBox 2">
          <a:hlinkClick xmlns:r="http://schemas.openxmlformats.org/officeDocument/2006/relationships" r:id="rId1"/>
          <a:extLst>
            <a:ext uri="{FF2B5EF4-FFF2-40B4-BE49-F238E27FC236}">
              <a16:creationId xmlns:a16="http://schemas.microsoft.com/office/drawing/2014/main" id="{2C477058-E4B4-5545-806C-247AA98B8224}"/>
            </a:ext>
          </a:extLst>
        </xdr:cNvPr>
        <xdr:cNvSpPr txBox="1"/>
      </xdr:nvSpPr>
      <xdr:spPr>
        <a:xfrm>
          <a:off x="7035800" y="17640300"/>
          <a:ext cx="224790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bg1"/>
              </a:solidFill>
            </a:rPr>
            <a:t>Next: Yearly</a:t>
          </a:r>
          <a:r>
            <a:rPr lang="en-US" sz="1400" baseline="0">
              <a:solidFill>
                <a:schemeClr val="bg1"/>
              </a:solidFill>
            </a:rPr>
            <a:t> Income Analysis</a:t>
          </a:r>
          <a:endParaRPr lang="en-US" sz="1400">
            <a:solidFill>
              <a:schemeClr val="bg1"/>
            </a:solidFill>
          </a:endParaRPr>
        </a:p>
      </xdr:txBody>
    </xdr:sp>
    <xdr:clientData/>
  </xdr:twoCellAnchor>
  <xdr:twoCellAnchor>
    <xdr:from>
      <xdr:col>7</xdr:col>
      <xdr:colOff>558800</xdr:colOff>
      <xdr:row>65</xdr:row>
      <xdr:rowOff>6350</xdr:rowOff>
    </xdr:from>
    <xdr:to>
      <xdr:col>7</xdr:col>
      <xdr:colOff>714640</xdr:colOff>
      <xdr:row>66</xdr:row>
      <xdr:rowOff>12700</xdr:rowOff>
    </xdr:to>
    <xdr:sp macro="" textlink="">
      <xdr:nvSpPr>
        <xdr:cNvPr id="4" name="Triangle 3">
          <a:hlinkClick xmlns:r="http://schemas.openxmlformats.org/officeDocument/2006/relationships" r:id="rId1"/>
          <a:extLst>
            <a:ext uri="{FF2B5EF4-FFF2-40B4-BE49-F238E27FC236}">
              <a16:creationId xmlns:a16="http://schemas.microsoft.com/office/drawing/2014/main" id="{5465820B-0607-F941-8F14-E61B777A3E9A}"/>
            </a:ext>
          </a:extLst>
        </xdr:cNvPr>
        <xdr:cNvSpPr/>
      </xdr:nvSpPr>
      <xdr:spPr>
        <a:xfrm rot="5400000">
          <a:off x="6824795" y="17717955"/>
          <a:ext cx="196850" cy="15584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0</xdr:rowOff>
    </xdr:from>
    <xdr:to>
      <xdr:col>9</xdr:col>
      <xdr:colOff>495300</xdr:colOff>
      <xdr:row>2</xdr:row>
      <xdr:rowOff>0</xdr:rowOff>
    </xdr:to>
    <xdr:sp macro="" textlink="">
      <xdr:nvSpPr>
        <xdr:cNvPr id="5" name="Round Same Side Corner Rectangle 4">
          <a:extLst>
            <a:ext uri="{FF2B5EF4-FFF2-40B4-BE49-F238E27FC236}">
              <a16:creationId xmlns:a16="http://schemas.microsoft.com/office/drawing/2014/main" id="{7F69534A-FC22-E249-A6FC-95D213EEB995}"/>
            </a:ext>
          </a:extLst>
        </xdr:cNvPr>
        <xdr:cNvSpPr/>
      </xdr:nvSpPr>
      <xdr:spPr>
        <a:xfrm>
          <a:off x="635000" y="190500"/>
          <a:ext cx="8407400" cy="762000"/>
        </a:xfrm>
        <a:prstGeom prst="round2SameRect">
          <a:avLst/>
        </a:prstGeom>
        <a:gradFill flip="none" rotWithShape="1">
          <a:gsLst>
            <a:gs pos="0">
              <a:srgbClr val="00505B"/>
            </a:gs>
            <a:gs pos="50000">
              <a:srgbClr val="00738E"/>
            </a:gs>
            <a:gs pos="99000">
              <a:srgbClr val="80C8BD"/>
            </a:gs>
          </a:gsLst>
          <a:lin ang="27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153996</xdr:colOff>
      <xdr:row>1</xdr:row>
      <xdr:rowOff>139700</xdr:rowOff>
    </xdr:from>
    <xdr:to>
      <xdr:col>7</xdr:col>
      <xdr:colOff>825499</xdr:colOff>
      <xdr:row>1</xdr:row>
      <xdr:rowOff>673100</xdr:rowOff>
    </xdr:to>
    <xdr:sp macro="" textlink="">
      <xdr:nvSpPr>
        <xdr:cNvPr id="6" name="TextBox 5">
          <a:extLst>
            <a:ext uri="{FF2B5EF4-FFF2-40B4-BE49-F238E27FC236}">
              <a16:creationId xmlns:a16="http://schemas.microsoft.com/office/drawing/2014/main" id="{8AE30029-5BA6-684D-B99E-4EFF8E56943E}"/>
            </a:ext>
          </a:extLst>
        </xdr:cNvPr>
        <xdr:cNvSpPr txBox="1"/>
      </xdr:nvSpPr>
      <xdr:spPr>
        <a:xfrm>
          <a:off x="788996" y="330200"/>
          <a:ext cx="6551603"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000">
              <a:solidFill>
                <a:schemeClr val="bg1"/>
              </a:solidFill>
            </a:rPr>
            <a:t>Enterprise Budget</a:t>
          </a:r>
        </a:p>
      </xdr:txBody>
    </xdr:sp>
    <xdr:clientData/>
  </xdr:twoCellAnchor>
  <xdr:twoCellAnchor>
    <xdr:from>
      <xdr:col>1</xdr:col>
      <xdr:colOff>12700</xdr:colOff>
      <xdr:row>2</xdr:row>
      <xdr:rowOff>177800</xdr:rowOff>
    </xdr:from>
    <xdr:to>
      <xdr:col>1</xdr:col>
      <xdr:colOff>168540</xdr:colOff>
      <xdr:row>3</xdr:row>
      <xdr:rowOff>184150</xdr:rowOff>
    </xdr:to>
    <xdr:sp macro="" textlink="">
      <xdr:nvSpPr>
        <xdr:cNvPr id="8" name="Triangle 7">
          <a:extLst>
            <a:ext uri="{FF2B5EF4-FFF2-40B4-BE49-F238E27FC236}">
              <a16:creationId xmlns:a16="http://schemas.microsoft.com/office/drawing/2014/main" id="{4A0C0E53-B163-6745-9A63-21CA6460645A}"/>
            </a:ext>
          </a:extLst>
        </xdr:cNvPr>
        <xdr:cNvSpPr/>
      </xdr:nvSpPr>
      <xdr:spPr>
        <a:xfrm rot="5400000">
          <a:off x="627195" y="1150805"/>
          <a:ext cx="196850" cy="155840"/>
        </a:xfrm>
        <a:prstGeom prst="triangle">
          <a:avLst/>
        </a:prstGeom>
        <a:solidFill>
          <a:srgbClr val="00505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165100</xdr:colOff>
      <xdr:row>6</xdr:row>
      <xdr:rowOff>57149</xdr:rowOff>
    </xdr:from>
    <xdr:to>
      <xdr:col>17</xdr:col>
      <xdr:colOff>66675</xdr:colOff>
      <xdr:row>24</xdr:row>
      <xdr:rowOff>15874</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1</xdr:row>
      <xdr:rowOff>0</xdr:rowOff>
    </xdr:from>
    <xdr:to>
      <xdr:col>18</xdr:col>
      <xdr:colOff>25400</xdr:colOff>
      <xdr:row>2</xdr:row>
      <xdr:rowOff>0</xdr:rowOff>
    </xdr:to>
    <xdr:sp macro="" textlink="">
      <xdr:nvSpPr>
        <xdr:cNvPr id="4" name="Round Same Side Corner Rectangle 3">
          <a:extLst>
            <a:ext uri="{FF2B5EF4-FFF2-40B4-BE49-F238E27FC236}">
              <a16:creationId xmlns:a16="http://schemas.microsoft.com/office/drawing/2014/main" id="{FAC1CBD5-D2DD-8A45-A517-21FC8816C58E}"/>
            </a:ext>
          </a:extLst>
        </xdr:cNvPr>
        <xdr:cNvSpPr/>
      </xdr:nvSpPr>
      <xdr:spPr>
        <a:xfrm>
          <a:off x="647700" y="190500"/>
          <a:ext cx="14287500" cy="762000"/>
        </a:xfrm>
        <a:prstGeom prst="round2SameRect">
          <a:avLst/>
        </a:prstGeom>
        <a:gradFill flip="none" rotWithShape="1">
          <a:gsLst>
            <a:gs pos="0">
              <a:srgbClr val="00505B"/>
            </a:gs>
            <a:gs pos="50000">
              <a:srgbClr val="00738E"/>
            </a:gs>
            <a:gs pos="99000">
              <a:srgbClr val="80C8BD"/>
            </a:gs>
          </a:gsLst>
          <a:lin ang="27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166696</xdr:colOff>
      <xdr:row>1</xdr:row>
      <xdr:rowOff>127000</xdr:rowOff>
    </xdr:from>
    <xdr:to>
      <xdr:col>9</xdr:col>
      <xdr:colOff>11493</xdr:colOff>
      <xdr:row>1</xdr:row>
      <xdr:rowOff>660400</xdr:rowOff>
    </xdr:to>
    <xdr:sp macro="" textlink="">
      <xdr:nvSpPr>
        <xdr:cNvPr id="5" name="TextBox 4">
          <a:extLst>
            <a:ext uri="{FF2B5EF4-FFF2-40B4-BE49-F238E27FC236}">
              <a16:creationId xmlns:a16="http://schemas.microsoft.com/office/drawing/2014/main" id="{89E6F8BA-6F0D-AC4D-AD9A-22FADB8C71FF}"/>
            </a:ext>
          </a:extLst>
        </xdr:cNvPr>
        <xdr:cNvSpPr txBox="1"/>
      </xdr:nvSpPr>
      <xdr:spPr>
        <a:xfrm>
          <a:off x="801696" y="317500"/>
          <a:ext cx="7350497"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000">
              <a:solidFill>
                <a:schemeClr val="bg1"/>
              </a:solidFill>
            </a:rPr>
            <a:t>Yearly Income</a:t>
          </a:r>
          <a:r>
            <a:rPr lang="en-US" sz="2000" baseline="0">
              <a:solidFill>
                <a:schemeClr val="bg1"/>
              </a:solidFill>
            </a:rPr>
            <a:t> Analysis</a:t>
          </a:r>
          <a:endParaRPr lang="en-US" sz="2000">
            <a:solidFill>
              <a:schemeClr val="bg1"/>
            </a:solidFill>
          </a:endParaRPr>
        </a:p>
      </xdr:txBody>
    </xdr:sp>
    <xdr:clientData/>
  </xdr:twoCellAnchor>
  <xdr:twoCellAnchor>
    <xdr:from>
      <xdr:col>13</xdr:col>
      <xdr:colOff>609600</xdr:colOff>
      <xdr:row>30</xdr:row>
      <xdr:rowOff>152400</xdr:rowOff>
    </xdr:from>
    <xdr:to>
      <xdr:col>17</xdr:col>
      <xdr:colOff>368300</xdr:colOff>
      <xdr:row>33</xdr:row>
      <xdr:rowOff>50800</xdr:rowOff>
    </xdr:to>
    <xdr:sp macro="" textlink="">
      <xdr:nvSpPr>
        <xdr:cNvPr id="6" name="Rounded Rectangle 5">
          <a:hlinkClick xmlns:r="http://schemas.openxmlformats.org/officeDocument/2006/relationships" r:id="rId2"/>
          <a:extLst>
            <a:ext uri="{FF2B5EF4-FFF2-40B4-BE49-F238E27FC236}">
              <a16:creationId xmlns:a16="http://schemas.microsoft.com/office/drawing/2014/main" id="{0125664E-C621-6543-A2EC-F7FDDD766EE3}"/>
            </a:ext>
          </a:extLst>
        </xdr:cNvPr>
        <xdr:cNvSpPr/>
      </xdr:nvSpPr>
      <xdr:spPr>
        <a:xfrm>
          <a:off x="12153900" y="7518400"/>
          <a:ext cx="2451100" cy="469900"/>
        </a:xfrm>
        <a:prstGeom prst="roundRect">
          <a:avLst/>
        </a:prstGeom>
        <a:gradFill flip="none" rotWithShape="1">
          <a:gsLst>
            <a:gs pos="0">
              <a:srgbClr val="00505B"/>
            </a:gs>
            <a:gs pos="50000">
              <a:srgbClr val="00738E"/>
            </a:gs>
            <a:gs pos="100000">
              <a:srgbClr val="80C8BD"/>
            </a:gs>
          </a:gsLst>
          <a:lin ang="27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317500</xdr:colOff>
      <xdr:row>31</xdr:row>
      <xdr:rowOff>50800</xdr:rowOff>
    </xdr:from>
    <xdr:to>
      <xdr:col>17</xdr:col>
      <xdr:colOff>279400</xdr:colOff>
      <xdr:row>32</xdr:row>
      <xdr:rowOff>177800</xdr:rowOff>
    </xdr:to>
    <xdr:sp macro="" textlink="">
      <xdr:nvSpPr>
        <xdr:cNvPr id="7" name="TextBox 6">
          <a:hlinkClick xmlns:r="http://schemas.openxmlformats.org/officeDocument/2006/relationships" r:id="rId2"/>
          <a:extLst>
            <a:ext uri="{FF2B5EF4-FFF2-40B4-BE49-F238E27FC236}">
              <a16:creationId xmlns:a16="http://schemas.microsoft.com/office/drawing/2014/main" id="{B4863BE5-3021-4944-AA40-86ECB1E097F3}"/>
            </a:ext>
          </a:extLst>
        </xdr:cNvPr>
        <xdr:cNvSpPr txBox="1"/>
      </xdr:nvSpPr>
      <xdr:spPr>
        <a:xfrm>
          <a:off x="12534900" y="7607300"/>
          <a:ext cx="198120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bg1"/>
              </a:solidFill>
            </a:rPr>
            <a:t>Next: Sensitivity </a:t>
          </a:r>
          <a:r>
            <a:rPr lang="en-US" sz="1400" baseline="0">
              <a:solidFill>
                <a:schemeClr val="bg1"/>
              </a:solidFill>
            </a:rPr>
            <a:t>Analysis</a:t>
          </a:r>
          <a:endParaRPr lang="en-US" sz="1400">
            <a:solidFill>
              <a:schemeClr val="bg1"/>
            </a:solidFill>
          </a:endParaRPr>
        </a:p>
      </xdr:txBody>
    </xdr:sp>
    <xdr:clientData/>
  </xdr:twoCellAnchor>
  <xdr:twoCellAnchor>
    <xdr:from>
      <xdr:col>14</xdr:col>
      <xdr:colOff>127000</xdr:colOff>
      <xdr:row>31</xdr:row>
      <xdr:rowOff>107950</xdr:rowOff>
    </xdr:from>
    <xdr:to>
      <xdr:col>14</xdr:col>
      <xdr:colOff>282840</xdr:colOff>
      <xdr:row>32</xdr:row>
      <xdr:rowOff>114300</xdr:rowOff>
    </xdr:to>
    <xdr:sp macro="" textlink="">
      <xdr:nvSpPr>
        <xdr:cNvPr id="8" name="Triangle 7">
          <a:hlinkClick xmlns:r="http://schemas.openxmlformats.org/officeDocument/2006/relationships" r:id="rId2"/>
          <a:extLst>
            <a:ext uri="{FF2B5EF4-FFF2-40B4-BE49-F238E27FC236}">
              <a16:creationId xmlns:a16="http://schemas.microsoft.com/office/drawing/2014/main" id="{B451106B-7EA1-E942-A0A1-49E03C04690A}"/>
            </a:ext>
          </a:extLst>
        </xdr:cNvPr>
        <xdr:cNvSpPr/>
      </xdr:nvSpPr>
      <xdr:spPr>
        <a:xfrm rot="5400000">
          <a:off x="12323895" y="7684955"/>
          <a:ext cx="196850" cy="15584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13</xdr:col>
      <xdr:colOff>330200</xdr:colOff>
      <xdr:row>2</xdr:row>
      <xdr:rowOff>0</xdr:rowOff>
    </xdr:to>
    <xdr:sp macro="" textlink="">
      <xdr:nvSpPr>
        <xdr:cNvPr id="2" name="Round Same Side Corner Rectangle 1">
          <a:extLst>
            <a:ext uri="{FF2B5EF4-FFF2-40B4-BE49-F238E27FC236}">
              <a16:creationId xmlns:a16="http://schemas.microsoft.com/office/drawing/2014/main" id="{853D127C-F9F6-104E-970F-55B612FFCCA4}"/>
            </a:ext>
          </a:extLst>
        </xdr:cNvPr>
        <xdr:cNvSpPr/>
      </xdr:nvSpPr>
      <xdr:spPr>
        <a:xfrm>
          <a:off x="762000" y="190500"/>
          <a:ext cx="11785600" cy="762000"/>
        </a:xfrm>
        <a:prstGeom prst="round2SameRect">
          <a:avLst/>
        </a:prstGeom>
        <a:gradFill flip="none" rotWithShape="1">
          <a:gsLst>
            <a:gs pos="0">
              <a:srgbClr val="00505B"/>
            </a:gs>
            <a:gs pos="50000">
              <a:srgbClr val="00738E"/>
            </a:gs>
            <a:gs pos="99000">
              <a:srgbClr val="80C8BD"/>
            </a:gs>
          </a:gsLst>
          <a:lin ang="27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153996</xdr:colOff>
      <xdr:row>1</xdr:row>
      <xdr:rowOff>127000</xdr:rowOff>
    </xdr:from>
    <xdr:to>
      <xdr:col>8</xdr:col>
      <xdr:colOff>482599</xdr:colOff>
      <xdr:row>1</xdr:row>
      <xdr:rowOff>660400</xdr:rowOff>
    </xdr:to>
    <xdr:sp macro="" textlink="">
      <xdr:nvSpPr>
        <xdr:cNvPr id="3" name="TextBox 2">
          <a:extLst>
            <a:ext uri="{FF2B5EF4-FFF2-40B4-BE49-F238E27FC236}">
              <a16:creationId xmlns:a16="http://schemas.microsoft.com/office/drawing/2014/main" id="{BB18F084-E81E-FF46-8189-430950242EF3}"/>
            </a:ext>
          </a:extLst>
        </xdr:cNvPr>
        <xdr:cNvSpPr txBox="1"/>
      </xdr:nvSpPr>
      <xdr:spPr>
        <a:xfrm>
          <a:off x="915996" y="317500"/>
          <a:ext cx="7631103"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000">
              <a:solidFill>
                <a:schemeClr val="bg1"/>
              </a:solidFill>
            </a:rPr>
            <a:t>Sensitivity Analysis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6.bin"/><Relationship Id="rId1" Type="http://schemas.openxmlformats.org/officeDocument/2006/relationships/hyperlink" Target="http://www.scseagrant.org/living-marine-resources-progra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S55"/>
  <sheetViews>
    <sheetView showGridLines="0" tabSelected="1" topLeftCell="A4" zoomScaleNormal="100" workbookViewId="0">
      <selection activeCell="C6" sqref="C6:R6"/>
    </sheetView>
  </sheetViews>
  <sheetFormatPr defaultColWidth="8.81640625" defaultRowHeight="14.5"/>
  <cols>
    <col min="1" max="1" width="8.453125" customWidth="1"/>
    <col min="2" max="2" width="2.453125" customWidth="1"/>
    <col min="3" max="3" width="8.81640625" customWidth="1"/>
    <col min="16" max="16" width="19.453125" customWidth="1"/>
  </cols>
  <sheetData>
    <row r="2" spans="1:19" ht="58" customHeight="1"/>
    <row r="4" spans="1:19" ht="76" customHeight="1">
      <c r="A4" s="238"/>
      <c r="B4" s="238"/>
      <c r="C4" s="238"/>
      <c r="D4" s="238"/>
      <c r="E4" s="238"/>
      <c r="F4" s="238"/>
      <c r="G4" s="238"/>
      <c r="H4" s="238"/>
      <c r="I4" s="238"/>
      <c r="J4" s="238"/>
      <c r="K4" s="238"/>
      <c r="L4" s="238"/>
      <c r="M4" s="238"/>
      <c r="N4" s="238"/>
      <c r="O4" s="238"/>
      <c r="P4" s="238"/>
      <c r="Q4" s="238"/>
      <c r="R4" s="238"/>
      <c r="S4" s="238"/>
    </row>
    <row r="5" spans="1:19" ht="28" customHeight="1">
      <c r="C5" s="239" t="s">
        <v>171</v>
      </c>
      <c r="D5" s="239"/>
      <c r="E5" s="239"/>
      <c r="F5" s="239"/>
      <c r="G5" s="239"/>
      <c r="H5" s="239"/>
      <c r="I5" s="239"/>
      <c r="J5" s="239"/>
      <c r="K5" s="239"/>
      <c r="L5" s="239"/>
      <c r="M5" s="239"/>
      <c r="N5" s="239"/>
      <c r="O5" s="239"/>
      <c r="P5" s="239"/>
      <c r="Q5" s="239"/>
      <c r="R5" s="239"/>
      <c r="S5" s="239"/>
    </row>
    <row r="6" spans="1:19" ht="15" customHeight="1">
      <c r="C6" s="237" t="s">
        <v>176</v>
      </c>
      <c r="D6" s="237"/>
      <c r="E6" s="237"/>
      <c r="F6" s="237"/>
      <c r="G6" s="237"/>
      <c r="H6" s="237"/>
      <c r="I6" s="237"/>
      <c r="J6" s="237"/>
      <c r="K6" s="237"/>
      <c r="L6" s="237"/>
      <c r="M6" s="237"/>
      <c r="N6" s="237"/>
      <c r="O6" s="237"/>
      <c r="P6" s="237"/>
      <c r="Q6" s="237"/>
      <c r="R6" s="237"/>
    </row>
    <row r="7" spans="1:19" ht="15" customHeight="1">
      <c r="C7" s="28"/>
      <c r="D7" s="28"/>
      <c r="E7" s="28"/>
      <c r="F7" s="28"/>
      <c r="G7" s="28"/>
      <c r="H7" s="28"/>
      <c r="I7" s="28"/>
      <c r="J7" s="28"/>
      <c r="K7" s="28"/>
      <c r="L7" s="28"/>
      <c r="M7" s="28"/>
      <c r="N7" s="28"/>
      <c r="O7" s="28"/>
      <c r="P7" s="28"/>
      <c r="Q7" s="28"/>
      <c r="R7" s="28"/>
    </row>
    <row r="8" spans="1:19">
      <c r="C8" s="237" t="s">
        <v>172</v>
      </c>
      <c r="D8" s="237"/>
      <c r="E8" s="237"/>
      <c r="F8" s="237"/>
      <c r="G8" s="237"/>
      <c r="H8" s="237"/>
      <c r="I8" s="237"/>
      <c r="J8" s="237"/>
      <c r="K8" s="237"/>
      <c r="L8" s="237"/>
      <c r="M8" s="237"/>
      <c r="N8" s="237"/>
      <c r="O8" s="237"/>
      <c r="P8" s="237"/>
      <c r="Q8" s="237"/>
      <c r="R8" s="237"/>
    </row>
    <row r="9" spans="1:19" ht="15" customHeight="1">
      <c r="C9" s="28"/>
      <c r="D9" s="28"/>
      <c r="E9" s="28"/>
      <c r="F9" s="28"/>
      <c r="G9" s="28"/>
      <c r="H9" s="28"/>
      <c r="I9" s="28"/>
      <c r="J9" s="28"/>
      <c r="K9" s="28"/>
      <c r="L9" s="28"/>
      <c r="M9" s="28"/>
      <c r="N9" s="28"/>
      <c r="O9" s="28"/>
      <c r="P9" s="28"/>
      <c r="Q9" s="28"/>
      <c r="R9" s="28"/>
    </row>
    <row r="10" spans="1:19" ht="44" customHeight="1">
      <c r="C10" s="240" t="s">
        <v>100</v>
      </c>
      <c r="D10" s="240"/>
      <c r="E10" s="240"/>
      <c r="F10" s="240"/>
      <c r="G10" s="240"/>
      <c r="H10" s="240"/>
      <c r="I10" s="240"/>
      <c r="J10" s="240"/>
      <c r="K10" s="240"/>
      <c r="L10" s="240"/>
      <c r="M10" s="240"/>
      <c r="N10" s="240"/>
      <c r="O10" s="240"/>
      <c r="P10" s="240"/>
      <c r="Q10" s="240"/>
      <c r="R10" s="240"/>
    </row>
    <row r="11" spans="1:19" ht="15" customHeight="1">
      <c r="C11" s="53"/>
      <c r="D11" s="53"/>
      <c r="E11" s="53"/>
      <c r="F11" s="53"/>
      <c r="G11" s="53"/>
      <c r="H11" s="53"/>
      <c r="I11" s="53"/>
      <c r="J11" s="53"/>
      <c r="K11" s="53"/>
      <c r="L11" s="53"/>
      <c r="M11" s="53"/>
      <c r="N11" s="53"/>
      <c r="O11" s="53"/>
      <c r="P11" s="53"/>
      <c r="Q11" s="53"/>
      <c r="R11" s="53"/>
    </row>
    <row r="12" spans="1:19" ht="28" customHeight="1">
      <c r="C12" s="239" t="s">
        <v>173</v>
      </c>
      <c r="D12" s="239"/>
      <c r="E12" s="239"/>
      <c r="F12" s="239"/>
      <c r="G12" s="239"/>
      <c r="H12" s="239"/>
      <c r="I12" s="239"/>
      <c r="J12" s="239"/>
      <c r="K12" s="239"/>
      <c r="L12" s="239"/>
      <c r="M12" s="239"/>
      <c r="N12" s="239"/>
      <c r="O12" s="239"/>
      <c r="P12" s="239"/>
      <c r="Q12" s="239"/>
      <c r="R12" s="239"/>
      <c r="S12" s="239"/>
    </row>
    <row r="13" spans="1:19" ht="32.25" customHeight="1">
      <c r="C13" s="241" t="s">
        <v>174</v>
      </c>
      <c r="D13" s="241"/>
      <c r="E13" s="241"/>
      <c r="F13" s="241"/>
      <c r="G13" s="241"/>
      <c r="H13" s="241"/>
      <c r="I13" s="241"/>
      <c r="J13" s="241"/>
      <c r="K13" s="241"/>
      <c r="L13" s="241"/>
      <c r="M13" s="241"/>
      <c r="N13" s="241"/>
      <c r="O13" s="241"/>
      <c r="P13" s="241"/>
      <c r="Q13" s="241"/>
      <c r="R13" s="241"/>
    </row>
    <row r="14" spans="1:19" ht="15" customHeight="1"/>
    <row r="15" spans="1:19" ht="28" customHeight="1">
      <c r="C15" s="239" t="s">
        <v>175</v>
      </c>
      <c r="D15" s="239"/>
      <c r="E15" s="239"/>
      <c r="F15" s="239"/>
      <c r="G15" s="239"/>
      <c r="H15" s="239"/>
      <c r="I15" s="239"/>
      <c r="J15" s="239"/>
      <c r="K15" s="239"/>
      <c r="L15" s="239"/>
      <c r="M15" s="239"/>
      <c r="N15" s="239"/>
      <c r="O15" s="239"/>
      <c r="P15" s="239"/>
      <c r="Q15" s="239"/>
      <c r="R15" s="239"/>
      <c r="S15" s="239"/>
    </row>
    <row r="16" spans="1:19" ht="47.25" customHeight="1">
      <c r="C16" s="236" t="s">
        <v>189</v>
      </c>
      <c r="D16" s="236"/>
      <c r="E16" s="236"/>
      <c r="F16" s="236"/>
      <c r="G16" s="236"/>
      <c r="H16" s="236"/>
      <c r="I16" s="236"/>
      <c r="J16" s="236"/>
      <c r="K16" s="236"/>
      <c r="L16" s="236"/>
      <c r="M16" s="236"/>
      <c r="N16" s="236"/>
      <c r="O16" s="236"/>
      <c r="P16" s="236"/>
      <c r="Q16" s="236"/>
      <c r="R16" s="236"/>
      <c r="S16" s="54"/>
    </row>
    <row r="17" spans="3:19">
      <c r="C17" s="236"/>
      <c r="D17" s="236"/>
      <c r="E17" s="236"/>
      <c r="F17" s="236"/>
      <c r="G17" s="236"/>
      <c r="H17" s="236"/>
      <c r="I17" s="236"/>
      <c r="J17" s="236"/>
      <c r="K17" s="236"/>
      <c r="L17" s="236"/>
      <c r="M17" s="236"/>
      <c r="N17" s="236"/>
      <c r="O17" s="236"/>
      <c r="P17" s="236"/>
      <c r="Q17" s="236"/>
      <c r="R17" s="236"/>
      <c r="S17" s="236"/>
    </row>
    <row r="18" spans="3:19" ht="30.75" customHeight="1"/>
    <row r="19" spans="3:19" ht="30" customHeight="1"/>
    <row r="20" spans="3:19" ht="30" customHeight="1"/>
    <row r="21" spans="3:19" ht="30" customHeight="1"/>
    <row r="24" spans="3:19" ht="15" customHeight="1"/>
    <row r="26" spans="3:19" ht="15" customHeight="1"/>
    <row r="31" spans="3:19" ht="15" customHeight="1"/>
    <row r="33" ht="15" customHeight="1"/>
    <row r="37" ht="15" customHeight="1"/>
    <row r="38" ht="28.5" customHeight="1"/>
    <row r="39" ht="45.75" customHeight="1"/>
    <row r="43" ht="15" customHeight="1"/>
    <row r="44" ht="45" customHeight="1"/>
    <row r="45" ht="30.75" customHeight="1"/>
    <row r="46" ht="44.25" customHeight="1"/>
    <row r="47" ht="30" customHeight="1"/>
    <row r="51" ht="15" customHeight="1"/>
    <row r="52" ht="45" customHeight="1"/>
    <row r="55" ht="15" customHeight="1"/>
  </sheetData>
  <mergeCells count="10">
    <mergeCell ref="C17:S17"/>
    <mergeCell ref="C6:R6"/>
    <mergeCell ref="C8:R8"/>
    <mergeCell ref="A4:S4"/>
    <mergeCell ref="C5:S5"/>
    <mergeCell ref="C12:S12"/>
    <mergeCell ref="C10:R10"/>
    <mergeCell ref="C13:R13"/>
    <mergeCell ref="C16:R16"/>
    <mergeCell ref="C15:S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Q66"/>
  <sheetViews>
    <sheetView showGridLines="0" zoomScaleNormal="100" workbookViewId="0">
      <selection activeCell="W1" sqref="W1"/>
    </sheetView>
  </sheetViews>
  <sheetFormatPr defaultColWidth="8.81640625" defaultRowHeight="14.5"/>
  <cols>
    <col min="1" max="1" width="8.453125" customWidth="1"/>
    <col min="2" max="2" width="2.453125" customWidth="1"/>
    <col min="15" max="15" width="19.453125" customWidth="1"/>
  </cols>
  <sheetData>
    <row r="2" spans="2:17" ht="60" customHeight="1"/>
    <row r="3" spans="2:17" ht="15" customHeight="1"/>
    <row r="4" spans="2:17" ht="25" customHeight="1">
      <c r="C4" s="244" t="s">
        <v>190</v>
      </c>
      <c r="D4" s="244"/>
      <c r="E4" s="244"/>
      <c r="F4" s="244"/>
      <c r="G4" s="244"/>
      <c r="H4" s="244"/>
      <c r="I4" s="244"/>
      <c r="J4" s="244"/>
      <c r="K4" s="244"/>
      <c r="L4" s="244"/>
      <c r="M4" s="244"/>
      <c r="N4" s="244"/>
      <c r="O4" s="244"/>
      <c r="P4" s="244"/>
      <c r="Q4" s="244"/>
    </row>
    <row r="5" spans="2:17" s="223" customFormat="1" ht="30" customHeight="1">
      <c r="C5" s="249" t="s">
        <v>191</v>
      </c>
      <c r="D5" s="249"/>
      <c r="E5" s="249"/>
      <c r="F5" s="249"/>
      <c r="G5" s="249"/>
      <c r="H5" s="249"/>
      <c r="I5" s="249"/>
      <c r="J5" s="249"/>
      <c r="K5" s="249"/>
      <c r="L5" s="249"/>
      <c r="M5" s="249"/>
      <c r="N5" s="249"/>
      <c r="O5" s="249"/>
    </row>
    <row r="6" spans="2:17" ht="32" customHeight="1">
      <c r="C6" s="248" t="s">
        <v>192</v>
      </c>
      <c r="D6" s="248"/>
      <c r="E6" s="248"/>
      <c r="F6" s="248"/>
      <c r="G6" s="248"/>
      <c r="H6" s="248"/>
      <c r="I6" s="248"/>
      <c r="J6" s="248"/>
      <c r="K6" s="248"/>
      <c r="L6" s="248"/>
      <c r="M6" s="248"/>
      <c r="N6" s="248"/>
      <c r="O6" s="248"/>
      <c r="P6" s="165"/>
      <c r="Q6" s="165"/>
    </row>
    <row r="7" spans="2:17" ht="32" customHeight="1">
      <c r="C7" s="248" t="s">
        <v>193</v>
      </c>
      <c r="D7" s="248"/>
      <c r="E7" s="248"/>
      <c r="F7" s="248"/>
      <c r="G7" s="248"/>
      <c r="H7" s="248"/>
      <c r="I7" s="248"/>
      <c r="J7" s="248"/>
      <c r="K7" s="248"/>
      <c r="L7" s="248"/>
      <c r="M7" s="248"/>
      <c r="N7" s="248"/>
      <c r="O7" s="248"/>
      <c r="P7" s="165"/>
      <c r="Q7" s="165"/>
    </row>
    <row r="8" spans="2:17" ht="52" customHeight="1">
      <c r="C8" s="248" t="s">
        <v>194</v>
      </c>
      <c r="D8" s="248"/>
      <c r="E8" s="248"/>
      <c r="F8" s="248"/>
      <c r="G8" s="248"/>
      <c r="H8" s="248"/>
      <c r="I8" s="248"/>
      <c r="J8" s="248"/>
      <c r="K8" s="248"/>
      <c r="L8" s="248"/>
      <c r="M8" s="248"/>
      <c r="N8" s="248"/>
      <c r="O8" s="248"/>
      <c r="P8" s="165"/>
      <c r="Q8" s="165"/>
    </row>
    <row r="9" spans="2:17" ht="25" customHeight="1">
      <c r="C9" s="224"/>
      <c r="D9" s="224"/>
      <c r="E9" s="224"/>
      <c r="F9" s="224"/>
      <c r="G9" s="224"/>
      <c r="H9" s="224"/>
      <c r="I9" s="224"/>
      <c r="J9" s="224"/>
      <c r="K9" s="224"/>
      <c r="L9" s="224"/>
      <c r="M9" s="224"/>
      <c r="N9" s="224"/>
      <c r="O9" s="224"/>
      <c r="P9" s="224"/>
      <c r="Q9" s="224"/>
    </row>
    <row r="10" spans="2:17" ht="25" customHeight="1">
      <c r="C10" s="245" t="s">
        <v>195</v>
      </c>
      <c r="D10" s="245"/>
      <c r="E10" s="245"/>
      <c r="F10" s="245"/>
      <c r="G10" s="245"/>
      <c r="H10" s="245"/>
      <c r="I10" s="245"/>
      <c r="J10" s="245"/>
      <c r="K10" s="245"/>
      <c r="L10" s="245"/>
      <c r="M10" s="245"/>
      <c r="N10" s="245"/>
      <c r="O10" s="245"/>
      <c r="P10" s="245"/>
      <c r="Q10" s="224"/>
    </row>
    <row r="11" spans="2:17" ht="32" customHeight="1">
      <c r="C11" s="247" t="s">
        <v>204</v>
      </c>
      <c r="D11" s="248"/>
      <c r="E11" s="248"/>
      <c r="F11" s="248"/>
      <c r="G11" s="248"/>
      <c r="H11" s="248"/>
      <c r="I11" s="248"/>
      <c r="J11" s="248"/>
      <c r="K11" s="248"/>
      <c r="L11" s="248"/>
      <c r="M11" s="248"/>
      <c r="N11" s="248"/>
      <c r="O11" s="248"/>
      <c r="P11" s="130"/>
      <c r="Q11" s="130"/>
    </row>
    <row r="13" spans="2:17" ht="30.75" customHeight="1">
      <c r="B13" s="19"/>
      <c r="C13" s="245" t="s">
        <v>196</v>
      </c>
      <c r="D13" s="245"/>
      <c r="E13" s="245"/>
      <c r="F13" s="245"/>
      <c r="G13" s="245"/>
      <c r="H13" s="245"/>
      <c r="I13" s="245"/>
      <c r="J13" s="245"/>
      <c r="K13" s="245"/>
      <c r="L13" s="245"/>
      <c r="M13" s="245"/>
      <c r="N13" s="245"/>
      <c r="O13" s="245"/>
      <c r="P13" s="245"/>
    </row>
    <row r="14" spans="2:17" ht="20" customHeight="1">
      <c r="B14" s="19"/>
      <c r="C14" s="230" t="s">
        <v>198</v>
      </c>
      <c r="D14" s="230"/>
      <c r="E14" s="230"/>
      <c r="F14" s="230"/>
      <c r="G14" s="230"/>
      <c r="H14" s="230"/>
      <c r="I14" s="230"/>
      <c r="J14" s="230"/>
      <c r="K14" s="230"/>
      <c r="L14" s="230"/>
      <c r="M14" s="230"/>
      <c r="N14" s="230"/>
      <c r="O14" s="230"/>
      <c r="P14" s="230"/>
      <c r="Q14" s="230"/>
    </row>
    <row r="15" spans="2:17" ht="20" customHeight="1">
      <c r="B15" s="19"/>
      <c r="C15" s="230"/>
      <c r="D15" s="230"/>
      <c r="E15" s="230"/>
      <c r="F15" s="230"/>
      <c r="G15" s="230"/>
      <c r="H15" s="230"/>
      <c r="I15" s="230"/>
      <c r="J15" s="230"/>
      <c r="K15" s="230"/>
      <c r="L15" s="230"/>
      <c r="M15" s="230"/>
      <c r="N15" s="230"/>
      <c r="O15" s="230"/>
      <c r="P15" s="230"/>
      <c r="Q15" s="230"/>
    </row>
    <row r="16" spans="2:17" ht="20" customHeight="1">
      <c r="B16" s="246" t="s">
        <v>197</v>
      </c>
      <c r="C16" s="246"/>
      <c r="D16" s="246"/>
      <c r="E16" s="246"/>
      <c r="F16" s="246"/>
      <c r="G16" s="246"/>
      <c r="H16" s="246"/>
      <c r="I16" s="246"/>
      <c r="J16" s="246"/>
      <c r="K16" s="246"/>
      <c r="L16" s="246"/>
      <c r="M16" s="246"/>
      <c r="N16" s="246"/>
      <c r="O16" s="246"/>
    </row>
    <row r="17" spans="2:17" ht="15" customHeight="1">
      <c r="B17" s="225"/>
      <c r="C17" s="225"/>
      <c r="D17" s="225"/>
      <c r="E17" s="225"/>
      <c r="F17" s="225"/>
      <c r="G17" s="225"/>
      <c r="H17" s="225"/>
      <c r="I17" s="225"/>
      <c r="J17" s="225"/>
      <c r="K17" s="225"/>
      <c r="L17" s="225"/>
      <c r="M17" s="225"/>
      <c r="N17" s="225"/>
      <c r="O17" s="225"/>
    </row>
    <row r="18" spans="2:17" ht="15" customHeight="1">
      <c r="B18" s="228"/>
      <c r="C18" s="228"/>
      <c r="D18" s="228"/>
      <c r="E18" s="228"/>
      <c r="F18" s="228"/>
      <c r="G18" s="228"/>
      <c r="H18" s="228"/>
      <c r="I18" s="228"/>
      <c r="J18" s="228"/>
      <c r="K18" s="228"/>
      <c r="L18" s="228"/>
      <c r="M18" s="228"/>
      <c r="N18" s="228"/>
      <c r="O18" s="228"/>
      <c r="P18" s="118"/>
      <c r="Q18" s="118"/>
    </row>
    <row r="19" spans="2:17" ht="15" customHeight="1">
      <c r="B19" s="228"/>
      <c r="C19" s="228"/>
      <c r="D19" s="228"/>
      <c r="E19" s="228"/>
      <c r="F19" s="228"/>
      <c r="G19" s="228"/>
      <c r="H19" s="228"/>
      <c r="I19" s="228"/>
      <c r="J19" s="228"/>
      <c r="K19" s="228"/>
      <c r="L19" s="228"/>
      <c r="M19" s="228"/>
      <c r="N19" s="228"/>
      <c r="O19" s="228"/>
    </row>
    <row r="20" spans="2:17" ht="15" customHeight="1">
      <c r="B20" s="228"/>
      <c r="C20" s="228"/>
      <c r="D20" s="228"/>
      <c r="E20" s="228"/>
      <c r="F20" s="228"/>
      <c r="G20" s="228"/>
      <c r="H20" s="228"/>
      <c r="I20" s="228"/>
      <c r="J20" s="228"/>
      <c r="K20" s="228"/>
      <c r="L20" s="228"/>
      <c r="M20" s="228"/>
      <c r="N20" s="228"/>
      <c r="O20" s="228"/>
    </row>
    <row r="21" spans="2:17" ht="15" customHeight="1">
      <c r="B21" s="228"/>
      <c r="C21" s="228"/>
      <c r="D21" s="228"/>
      <c r="E21" s="228"/>
      <c r="F21" s="228"/>
      <c r="G21" s="228"/>
      <c r="H21" s="228"/>
      <c r="I21" s="228"/>
      <c r="J21" s="228"/>
      <c r="K21" s="228"/>
      <c r="L21" s="228"/>
      <c r="M21" s="228"/>
      <c r="N21" s="228"/>
      <c r="O21" s="228"/>
    </row>
    <row r="22" spans="2:17" ht="15" customHeight="1">
      <c r="B22" s="228"/>
      <c r="C22" s="228"/>
      <c r="D22" s="228"/>
      <c r="E22" s="228"/>
      <c r="F22" s="228"/>
      <c r="G22" s="228"/>
      <c r="H22" s="228"/>
      <c r="I22" s="228"/>
      <c r="J22" s="228"/>
      <c r="K22" s="228"/>
      <c r="L22" s="228"/>
      <c r="M22" s="228"/>
      <c r="N22" s="228"/>
      <c r="O22" s="228"/>
    </row>
    <row r="23" spans="2:17" ht="15" customHeight="1">
      <c r="B23" s="228"/>
      <c r="C23" s="228"/>
      <c r="D23" s="228"/>
      <c r="E23" s="228"/>
      <c r="F23" s="228"/>
      <c r="G23" s="228"/>
      <c r="H23" s="228"/>
      <c r="I23" s="228"/>
      <c r="J23" s="228"/>
      <c r="K23" s="228"/>
      <c r="L23" s="228"/>
      <c r="M23" s="228"/>
      <c r="N23" s="228"/>
      <c r="O23" s="228"/>
    </row>
    <row r="24" spans="2:17" ht="15" customHeight="1">
      <c r="B24" s="228"/>
      <c r="C24" s="228"/>
      <c r="D24" s="228"/>
      <c r="E24" s="228"/>
      <c r="F24" s="228"/>
      <c r="G24" s="228"/>
      <c r="H24" s="228"/>
      <c r="I24" s="228"/>
      <c r="J24" s="228"/>
      <c r="K24" s="228"/>
      <c r="L24" s="228"/>
      <c r="M24" s="228"/>
      <c r="N24" s="228"/>
      <c r="O24" s="228"/>
    </row>
    <row r="25" spans="2:17" ht="15" customHeight="1">
      <c r="B25" s="228"/>
      <c r="C25" s="228"/>
      <c r="D25" s="228"/>
      <c r="E25" s="228"/>
      <c r="F25" s="228"/>
      <c r="G25" s="228"/>
      <c r="H25" s="228"/>
      <c r="I25" s="228"/>
      <c r="J25" s="228"/>
      <c r="K25" s="228"/>
      <c r="L25" s="228"/>
      <c r="M25" s="228"/>
      <c r="N25" s="228"/>
      <c r="O25" s="228"/>
    </row>
    <row r="26" spans="2:17" ht="15" customHeight="1">
      <c r="B26" s="229"/>
      <c r="C26" s="229"/>
      <c r="D26" s="229"/>
      <c r="E26" s="229"/>
      <c r="F26" s="229"/>
      <c r="G26" s="229"/>
      <c r="H26" s="229"/>
      <c r="I26" s="229"/>
      <c r="J26" s="229"/>
      <c r="K26" s="229"/>
      <c r="L26" s="229"/>
      <c r="M26" s="229"/>
      <c r="N26" s="229"/>
      <c r="O26" s="229"/>
    </row>
    <row r="27" spans="2:17" ht="15" customHeight="1">
      <c r="B27" s="226"/>
      <c r="C27" s="226"/>
      <c r="D27" s="226"/>
      <c r="E27" s="226"/>
      <c r="F27" s="226"/>
      <c r="G27" s="226"/>
      <c r="H27" s="226"/>
      <c r="I27" s="226"/>
      <c r="J27" s="226"/>
      <c r="K27" s="226"/>
      <c r="L27" s="226"/>
      <c r="M27" s="226"/>
      <c r="N27" s="226"/>
      <c r="O27" s="226"/>
    </row>
    <row r="28" spans="2:17" ht="20" customHeight="1">
      <c r="B28" s="250" t="s">
        <v>89</v>
      </c>
      <c r="C28" s="250"/>
      <c r="D28" s="250"/>
      <c r="E28" s="250"/>
      <c r="F28" s="250"/>
      <c r="G28" s="250"/>
      <c r="H28" s="250"/>
      <c r="I28" s="250"/>
      <c r="J28" s="250"/>
      <c r="K28" s="250"/>
      <c r="L28" s="250"/>
      <c r="M28" s="250"/>
      <c r="N28" s="250"/>
      <c r="O28" s="250"/>
    </row>
    <row r="29" spans="2:17" ht="20" customHeight="1">
      <c r="B29" s="122"/>
      <c r="C29" s="122"/>
      <c r="D29" s="122"/>
      <c r="E29" s="122"/>
      <c r="F29" s="122"/>
      <c r="G29" s="122"/>
      <c r="H29" s="122"/>
      <c r="I29" s="122"/>
      <c r="J29" s="122"/>
      <c r="K29" s="122"/>
      <c r="L29" s="122"/>
      <c r="M29" s="122"/>
      <c r="N29" s="122"/>
      <c r="O29" s="122"/>
    </row>
    <row r="30" spans="2:17" ht="20" customHeight="1">
      <c r="B30" s="122"/>
      <c r="C30" s="122"/>
      <c r="D30" s="122"/>
      <c r="E30" s="122"/>
      <c r="F30" s="122"/>
      <c r="G30" s="122"/>
      <c r="H30" s="122"/>
      <c r="I30" s="122"/>
      <c r="J30" s="122"/>
      <c r="K30" s="122"/>
      <c r="L30" s="122"/>
      <c r="M30" s="122"/>
      <c r="N30" s="122"/>
      <c r="O30" s="122"/>
    </row>
    <row r="31" spans="2:17" ht="20" customHeight="1">
      <c r="B31" s="122"/>
      <c r="C31" s="122"/>
      <c r="D31" s="122"/>
      <c r="E31" s="122"/>
      <c r="F31" s="122"/>
      <c r="G31" s="122"/>
      <c r="H31" s="122"/>
      <c r="I31" s="122"/>
      <c r="J31" s="122"/>
      <c r="K31" s="122"/>
      <c r="L31" s="122"/>
      <c r="M31" s="122"/>
      <c r="N31" s="122"/>
      <c r="O31" s="122"/>
    </row>
    <row r="32" spans="2:17" ht="32.25" customHeight="1">
      <c r="B32" s="122"/>
      <c r="C32" s="122"/>
      <c r="D32" s="122"/>
      <c r="E32" s="122"/>
      <c r="F32" s="122"/>
      <c r="G32" s="122"/>
      <c r="H32" s="122"/>
      <c r="I32" s="122"/>
      <c r="J32" s="122"/>
      <c r="K32" s="122"/>
      <c r="L32" s="122"/>
      <c r="M32" s="122"/>
      <c r="N32" s="122"/>
      <c r="O32" s="122"/>
    </row>
    <row r="33" spans="2:15" ht="20" customHeight="1">
      <c r="B33" s="122"/>
      <c r="C33" s="122"/>
      <c r="D33" s="122"/>
      <c r="E33" s="122"/>
      <c r="F33" s="122"/>
      <c r="G33" s="122"/>
      <c r="H33" s="122"/>
      <c r="I33" s="122"/>
      <c r="J33" s="122"/>
      <c r="K33" s="122"/>
      <c r="L33" s="122"/>
      <c r="M33" s="122"/>
      <c r="N33" s="122"/>
      <c r="O33" s="122"/>
    </row>
    <row r="34" spans="2:15" ht="20" customHeight="1">
      <c r="B34" s="251" t="s">
        <v>90</v>
      </c>
      <c r="C34" s="251"/>
      <c r="D34" s="251"/>
      <c r="E34" s="251"/>
      <c r="F34" s="251"/>
      <c r="G34" s="251"/>
      <c r="H34" s="251"/>
      <c r="I34" s="251"/>
      <c r="J34" s="251"/>
      <c r="K34" s="251"/>
      <c r="L34" s="251"/>
      <c r="M34" s="251"/>
      <c r="N34" s="251"/>
      <c r="O34" s="251"/>
    </row>
    <row r="35" spans="2:15" ht="10" customHeight="1">
      <c r="B35" s="122"/>
      <c r="C35" s="122"/>
      <c r="D35" s="122"/>
      <c r="E35" s="122"/>
      <c r="F35" s="122"/>
      <c r="G35" s="122"/>
      <c r="H35" s="122"/>
      <c r="I35" s="122"/>
      <c r="J35" s="122"/>
      <c r="K35" s="122"/>
      <c r="L35" s="122"/>
      <c r="M35" s="122"/>
      <c r="N35" s="122"/>
      <c r="O35" s="122"/>
    </row>
    <row r="36" spans="2:15" ht="15" customHeight="1">
      <c r="B36" s="228"/>
      <c r="C36" s="228"/>
      <c r="D36" s="228"/>
      <c r="E36" s="228"/>
      <c r="F36" s="228"/>
      <c r="G36" s="228"/>
      <c r="H36" s="228"/>
      <c r="I36" s="228"/>
      <c r="J36" s="228"/>
      <c r="K36" s="228"/>
      <c r="L36" s="228"/>
      <c r="M36" s="228"/>
      <c r="N36" s="228"/>
      <c r="O36" s="228"/>
    </row>
    <row r="37" spans="2:15" ht="15" customHeight="1">
      <c r="B37" s="228"/>
      <c r="C37" s="228"/>
      <c r="D37" s="228"/>
      <c r="E37" s="228"/>
      <c r="F37" s="228"/>
      <c r="G37" s="228"/>
      <c r="H37" s="228"/>
      <c r="I37" s="228"/>
      <c r="J37" s="228"/>
      <c r="K37" s="228"/>
      <c r="L37" s="228"/>
      <c r="M37" s="228"/>
      <c r="N37" s="228"/>
      <c r="O37" s="228"/>
    </row>
    <row r="38" spans="2:15" ht="15" customHeight="1">
      <c r="B38" s="228"/>
      <c r="C38" s="228"/>
      <c r="D38" s="228"/>
      <c r="E38" s="228"/>
      <c r="F38" s="228"/>
      <c r="G38" s="228"/>
      <c r="H38" s="228"/>
      <c r="I38" s="228"/>
      <c r="J38" s="228"/>
      <c r="K38" s="228"/>
      <c r="L38" s="228"/>
      <c r="M38" s="228"/>
      <c r="N38" s="228"/>
      <c r="O38" s="228"/>
    </row>
    <row r="39" spans="2:15" ht="36" customHeight="1">
      <c r="B39" s="226"/>
      <c r="C39" s="226"/>
      <c r="D39" s="226"/>
      <c r="E39" s="226"/>
      <c r="F39" s="226"/>
      <c r="G39" s="226"/>
      <c r="H39" s="226"/>
      <c r="I39" s="226"/>
      <c r="J39" s="226"/>
      <c r="K39" s="226"/>
      <c r="L39" s="226"/>
      <c r="M39" s="226"/>
      <c r="N39" s="226"/>
      <c r="O39" s="226"/>
    </row>
    <row r="40" spans="2:15" ht="20" customHeight="1">
      <c r="B40" s="252" t="s">
        <v>91</v>
      </c>
      <c r="C40" s="252"/>
      <c r="D40" s="252"/>
      <c r="E40" s="252"/>
      <c r="F40" s="252"/>
      <c r="G40" s="252"/>
      <c r="H40" s="252"/>
      <c r="I40" s="252"/>
      <c r="J40" s="252"/>
      <c r="K40" s="252"/>
      <c r="L40" s="252"/>
      <c r="M40" s="252"/>
      <c r="N40" s="252"/>
      <c r="O40" s="252"/>
    </row>
    <row r="41" spans="2:15" ht="15" customHeight="1">
      <c r="B41" s="122"/>
      <c r="C41" s="122"/>
      <c r="D41" s="122"/>
      <c r="E41" s="122"/>
      <c r="F41" s="122"/>
      <c r="G41" s="122"/>
      <c r="H41" s="122"/>
      <c r="I41" s="122"/>
      <c r="J41" s="122"/>
      <c r="K41" s="122"/>
      <c r="L41" s="122"/>
      <c r="M41" s="122"/>
      <c r="N41" s="122"/>
      <c r="O41" s="122"/>
    </row>
    <row r="42" spans="2:15" ht="15" customHeight="1">
      <c r="B42" s="228"/>
      <c r="C42" s="228"/>
      <c r="D42" s="228"/>
      <c r="E42" s="228"/>
      <c r="F42" s="228"/>
      <c r="G42" s="228"/>
      <c r="H42" s="228"/>
      <c r="I42" s="228"/>
      <c r="J42" s="228"/>
      <c r="K42" s="228"/>
      <c r="L42" s="228"/>
      <c r="M42" s="228"/>
      <c r="N42" s="228"/>
      <c r="O42" s="228"/>
    </row>
    <row r="43" spans="2:15" ht="15" customHeight="1">
      <c r="B43" s="227"/>
      <c r="C43" s="227"/>
      <c r="D43" s="227"/>
      <c r="E43" s="227"/>
      <c r="F43" s="227"/>
      <c r="G43" s="227"/>
      <c r="H43" s="227"/>
      <c r="I43" s="227"/>
      <c r="J43" s="227"/>
      <c r="K43" s="227"/>
      <c r="L43" s="227"/>
      <c r="M43" s="227"/>
      <c r="N43" s="227"/>
      <c r="O43" s="227"/>
    </row>
    <row r="44" spans="2:15" ht="15" customHeight="1">
      <c r="B44" s="227"/>
      <c r="C44" s="227"/>
      <c r="D44" s="227"/>
      <c r="E44" s="227"/>
      <c r="F44" s="227"/>
      <c r="G44" s="227"/>
      <c r="H44" s="227"/>
      <c r="I44" s="227"/>
      <c r="J44" s="227"/>
      <c r="K44" s="227"/>
      <c r="L44" s="227"/>
      <c r="M44" s="227"/>
      <c r="N44" s="227"/>
      <c r="O44" s="227"/>
    </row>
    <row r="45" spans="2:15" ht="15" customHeight="1">
      <c r="B45" s="227"/>
      <c r="C45" s="227"/>
      <c r="D45" s="227"/>
      <c r="E45" s="227"/>
      <c r="F45" s="227"/>
      <c r="G45" s="227"/>
      <c r="H45" s="227"/>
      <c r="I45" s="227"/>
      <c r="J45" s="227"/>
      <c r="K45" s="227"/>
      <c r="L45" s="227"/>
      <c r="M45" s="227"/>
      <c r="N45" s="227"/>
      <c r="O45" s="227"/>
    </row>
    <row r="46" spans="2:15" ht="15" customHeight="1">
      <c r="B46" s="227"/>
      <c r="C46" s="227"/>
      <c r="D46" s="227"/>
      <c r="E46" s="227"/>
      <c r="F46" s="227"/>
      <c r="G46" s="227"/>
      <c r="H46" s="227"/>
      <c r="I46" s="227"/>
      <c r="J46" s="227"/>
      <c r="K46" s="227"/>
      <c r="L46" s="227"/>
      <c r="M46" s="227"/>
      <c r="N46" s="227"/>
      <c r="O46" s="227"/>
    </row>
    <row r="47" spans="2:15" ht="15" customHeight="1">
      <c r="B47" s="227"/>
      <c r="C47" s="227"/>
      <c r="D47" s="227"/>
      <c r="E47" s="227"/>
      <c r="F47" s="227"/>
      <c r="G47" s="227"/>
      <c r="H47" s="227"/>
      <c r="I47" s="227"/>
      <c r="J47" s="227"/>
      <c r="K47" s="227"/>
      <c r="L47" s="227"/>
      <c r="M47" s="227"/>
      <c r="N47" s="227"/>
      <c r="O47" s="227"/>
    </row>
    <row r="48" spans="2:15" ht="44.25" customHeight="1">
      <c r="B48" s="228"/>
      <c r="C48" s="228"/>
      <c r="D48" s="228"/>
      <c r="E48" s="228"/>
      <c r="F48" s="228"/>
      <c r="G48" s="228"/>
      <c r="H48" s="228"/>
      <c r="I48" s="228"/>
      <c r="J48" s="228"/>
      <c r="K48" s="228"/>
      <c r="L48" s="228"/>
      <c r="M48" s="228"/>
      <c r="N48" s="228"/>
      <c r="O48" s="228"/>
    </row>
    <row r="49" spans="2:15" ht="20" customHeight="1">
      <c r="B49" s="243" t="s">
        <v>155</v>
      </c>
      <c r="C49" s="243"/>
      <c r="D49" s="243"/>
      <c r="E49" s="243"/>
      <c r="F49" s="243"/>
      <c r="G49" s="243"/>
      <c r="H49" s="243"/>
      <c r="I49" s="243"/>
      <c r="J49" s="243"/>
      <c r="K49" s="243"/>
      <c r="L49" s="243"/>
      <c r="M49" s="243"/>
      <c r="N49" s="243"/>
      <c r="O49" s="243"/>
    </row>
    <row r="50" spans="2:15" ht="15" customHeight="1">
      <c r="B50" s="225"/>
      <c r="C50" s="225"/>
      <c r="D50" s="225"/>
      <c r="E50" s="225"/>
      <c r="F50" s="225"/>
      <c r="G50" s="225"/>
      <c r="H50" s="225"/>
      <c r="I50" s="225"/>
      <c r="J50" s="225"/>
      <c r="K50" s="225"/>
      <c r="L50" s="225"/>
      <c r="M50" s="225"/>
      <c r="N50" s="225"/>
      <c r="O50" s="225"/>
    </row>
    <row r="51" spans="2:15" ht="15" customHeight="1">
      <c r="B51" s="228"/>
      <c r="C51" s="228"/>
      <c r="D51" s="228"/>
      <c r="E51" s="228"/>
      <c r="F51" s="228"/>
      <c r="G51" s="228"/>
      <c r="H51" s="228"/>
      <c r="I51" s="228"/>
      <c r="J51" s="228"/>
      <c r="K51" s="228"/>
      <c r="L51" s="228"/>
      <c r="M51" s="228"/>
      <c r="N51" s="228"/>
      <c r="O51" s="228"/>
    </row>
    <row r="52" spans="2:15" ht="15" customHeight="1">
      <c r="B52" s="228"/>
      <c r="C52" s="228"/>
      <c r="D52" s="228"/>
      <c r="E52" s="228"/>
      <c r="F52" s="228"/>
      <c r="G52" s="228"/>
      <c r="H52" s="228"/>
      <c r="I52" s="228"/>
      <c r="J52" s="228"/>
      <c r="K52" s="228"/>
      <c r="L52" s="228"/>
      <c r="M52" s="228"/>
      <c r="N52" s="228"/>
      <c r="O52" s="228"/>
    </row>
    <row r="53" spans="2:15" ht="15" customHeight="1">
      <c r="B53" s="228"/>
      <c r="C53" s="228"/>
      <c r="D53" s="228"/>
      <c r="E53" s="228"/>
      <c r="F53" s="228"/>
      <c r="G53" s="228"/>
      <c r="H53" s="228"/>
      <c r="I53" s="228"/>
      <c r="J53" s="228"/>
      <c r="K53" s="228"/>
      <c r="L53" s="228"/>
      <c r="M53" s="228"/>
      <c r="N53" s="228"/>
      <c r="O53" s="228"/>
    </row>
    <row r="54" spans="2:15" ht="15" customHeight="1">
      <c r="B54" s="228"/>
      <c r="C54" s="228"/>
      <c r="D54" s="228"/>
      <c r="E54" s="228"/>
      <c r="F54" s="228"/>
      <c r="G54" s="228"/>
      <c r="H54" s="228"/>
      <c r="I54" s="228"/>
      <c r="J54" s="228"/>
      <c r="K54" s="228"/>
      <c r="L54" s="228"/>
      <c r="M54" s="228"/>
      <c r="N54" s="228"/>
      <c r="O54" s="228"/>
    </row>
    <row r="55" spans="2:15" ht="15" customHeight="1">
      <c r="B55" s="228"/>
      <c r="C55" s="228"/>
      <c r="D55" s="228"/>
      <c r="E55" s="228"/>
      <c r="F55" s="228"/>
      <c r="G55" s="228"/>
      <c r="H55" s="228"/>
      <c r="I55" s="228"/>
      <c r="J55" s="228"/>
      <c r="K55" s="228"/>
      <c r="L55" s="228"/>
      <c r="M55" s="228"/>
      <c r="N55" s="228"/>
      <c r="O55" s="228"/>
    </row>
    <row r="56" spans="2:15" ht="15" customHeight="1">
      <c r="B56" s="228"/>
      <c r="C56" s="228"/>
      <c r="D56" s="228"/>
      <c r="E56" s="228"/>
      <c r="F56" s="228"/>
      <c r="G56" s="228"/>
      <c r="H56" s="228"/>
      <c r="I56" s="228"/>
      <c r="J56" s="228"/>
      <c r="K56" s="228"/>
      <c r="L56" s="228"/>
      <c r="M56" s="228"/>
      <c r="N56" s="228"/>
      <c r="O56" s="228"/>
    </row>
    <row r="57" spans="2:15" ht="15" customHeight="1">
      <c r="B57" s="228"/>
      <c r="C57" s="228"/>
      <c r="D57" s="228"/>
      <c r="E57" s="228"/>
      <c r="F57" s="228"/>
      <c r="G57" s="228"/>
      <c r="H57" s="228"/>
      <c r="I57" s="228"/>
      <c r="J57" s="228"/>
      <c r="K57" s="228"/>
      <c r="L57" s="228"/>
      <c r="M57" s="228"/>
      <c r="N57" s="228"/>
      <c r="O57" s="228"/>
    </row>
    <row r="58" spans="2:15" ht="15" customHeight="1">
      <c r="B58" s="228"/>
      <c r="C58" s="228"/>
      <c r="D58" s="228"/>
      <c r="E58" s="228"/>
      <c r="F58" s="228"/>
      <c r="G58" s="228"/>
      <c r="H58" s="228"/>
      <c r="I58" s="228"/>
      <c r="J58" s="228"/>
      <c r="K58" s="228"/>
      <c r="L58" s="228"/>
      <c r="M58" s="228"/>
      <c r="N58" s="228"/>
      <c r="O58" s="228"/>
    </row>
    <row r="59" spans="2:15" ht="15" customHeight="1">
      <c r="B59" s="228"/>
      <c r="C59" s="228"/>
      <c r="D59" s="228"/>
      <c r="E59" s="228"/>
      <c r="F59" s="228"/>
      <c r="G59" s="228"/>
      <c r="H59" s="228"/>
      <c r="I59" s="228"/>
      <c r="J59" s="228"/>
      <c r="K59" s="228"/>
      <c r="L59" s="228"/>
      <c r="M59" s="228"/>
      <c r="N59" s="228"/>
      <c r="O59" s="228"/>
    </row>
    <row r="60" spans="2:15" ht="15" customHeight="1">
      <c r="B60" s="228"/>
      <c r="C60" s="228"/>
      <c r="D60" s="228"/>
      <c r="E60" s="228"/>
      <c r="F60" s="228"/>
      <c r="G60" s="228"/>
      <c r="H60" s="228"/>
      <c r="I60" s="228"/>
      <c r="J60" s="228"/>
      <c r="K60" s="228"/>
      <c r="L60" s="228"/>
      <c r="M60" s="228"/>
      <c r="N60" s="228"/>
      <c r="O60" s="228"/>
    </row>
    <row r="61" spans="2:15" ht="26.25" customHeight="1">
      <c r="B61" s="228"/>
      <c r="C61" s="228"/>
      <c r="D61" s="228"/>
      <c r="E61" s="228"/>
      <c r="F61" s="228"/>
      <c r="G61" s="228"/>
      <c r="H61" s="228"/>
      <c r="I61" s="228"/>
      <c r="J61" s="228"/>
      <c r="K61" s="228"/>
      <c r="L61" s="228"/>
      <c r="M61" s="228"/>
      <c r="N61" s="228"/>
      <c r="O61" s="228"/>
    </row>
    <row r="62" spans="2:15" ht="15" customHeight="1">
      <c r="B62" s="226"/>
      <c r="C62" s="226"/>
      <c r="D62" s="226"/>
      <c r="E62" s="226"/>
      <c r="F62" s="226"/>
      <c r="G62" s="226"/>
      <c r="H62" s="226"/>
      <c r="I62" s="226"/>
      <c r="J62" s="226"/>
      <c r="K62" s="226"/>
      <c r="L62" s="226"/>
      <c r="M62" s="226"/>
      <c r="N62" s="226"/>
      <c r="O62" s="226"/>
    </row>
    <row r="63" spans="2:15" ht="15" customHeight="1">
      <c r="B63" s="242" t="s">
        <v>92</v>
      </c>
      <c r="C63" s="242"/>
      <c r="D63" s="242"/>
      <c r="E63" s="242"/>
      <c r="F63" s="242"/>
      <c r="G63" s="242"/>
      <c r="H63" s="242"/>
      <c r="I63" s="242"/>
      <c r="J63" s="242"/>
      <c r="K63" s="242"/>
      <c r="L63" s="242"/>
      <c r="M63" s="242"/>
      <c r="N63" s="242"/>
      <c r="O63" s="242"/>
    </row>
    <row r="64" spans="2:15" ht="15" customHeight="1">
      <c r="B64" s="228"/>
      <c r="C64" s="228"/>
      <c r="D64" s="228"/>
      <c r="E64" s="228"/>
      <c r="F64" s="228"/>
      <c r="G64" s="228"/>
      <c r="H64" s="228"/>
      <c r="I64" s="228"/>
      <c r="J64" s="228"/>
      <c r="K64" s="228"/>
      <c r="L64" s="228"/>
      <c r="M64" s="228"/>
      <c r="N64" s="228"/>
      <c r="O64" s="228"/>
    </row>
    <row r="65" spans="2:15" ht="15" customHeight="1">
      <c r="B65" s="228"/>
      <c r="C65" s="228"/>
      <c r="D65" s="228"/>
      <c r="E65" s="228"/>
      <c r="F65" s="228"/>
      <c r="G65" s="228"/>
      <c r="H65" s="228"/>
      <c r="I65" s="228"/>
      <c r="J65" s="228"/>
      <c r="K65" s="228"/>
      <c r="L65" s="228"/>
      <c r="M65" s="228"/>
      <c r="N65" s="228"/>
      <c r="O65" s="228"/>
    </row>
    <row r="66" spans="2:15" ht="15" customHeight="1"/>
  </sheetData>
  <mergeCells count="14">
    <mergeCell ref="B63:O63"/>
    <mergeCell ref="B49:O49"/>
    <mergeCell ref="C4:Q4"/>
    <mergeCell ref="C13:P13"/>
    <mergeCell ref="B16:O16"/>
    <mergeCell ref="C10:P10"/>
    <mergeCell ref="C11:O11"/>
    <mergeCell ref="C8:O8"/>
    <mergeCell ref="C7:O7"/>
    <mergeCell ref="C5:O5"/>
    <mergeCell ref="C6:O6"/>
    <mergeCell ref="B28:O28"/>
    <mergeCell ref="B34:O34"/>
    <mergeCell ref="B40:O40"/>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499984740745262"/>
  </sheetPr>
  <dimension ref="A2:G18"/>
  <sheetViews>
    <sheetView showGridLines="0" topLeftCell="A3" workbookViewId="0">
      <selection activeCell="G7" sqref="G7"/>
    </sheetView>
  </sheetViews>
  <sheetFormatPr defaultColWidth="8.81640625" defaultRowHeight="14.5"/>
  <cols>
    <col min="1" max="1" width="8.453125" customWidth="1"/>
    <col min="2" max="2" width="2.453125" customWidth="1"/>
    <col min="3" max="3" width="26.1796875" customWidth="1"/>
    <col min="4" max="4" width="2.453125" customWidth="1"/>
    <col min="5" max="5" width="11.1796875" customWidth="1"/>
    <col min="6" max="6" width="2.453125" customWidth="1"/>
    <col min="7" max="7" width="68.81640625" customWidth="1"/>
    <col min="8" max="8" width="2.81640625" customWidth="1"/>
    <col min="9" max="9" width="9" customWidth="1"/>
  </cols>
  <sheetData>
    <row r="2" spans="1:7" ht="60" customHeight="1">
      <c r="C2" s="253"/>
      <c r="D2" s="253"/>
      <c r="E2" s="253"/>
      <c r="F2" s="253"/>
      <c r="G2" s="253"/>
    </row>
    <row r="4" spans="1:7" ht="29.25" customHeight="1">
      <c r="A4" s="29"/>
      <c r="B4" s="29"/>
      <c r="C4" s="254" t="s">
        <v>165</v>
      </c>
      <c r="D4" s="254"/>
      <c r="E4" s="255"/>
      <c r="F4" s="255"/>
      <c r="G4" s="255"/>
    </row>
    <row r="5" spans="1:7" ht="15" customHeight="1">
      <c r="A5" s="29"/>
      <c r="B5" s="29"/>
      <c r="C5" s="30"/>
      <c r="D5" s="30"/>
      <c r="E5" s="31"/>
      <c r="F5" s="31"/>
      <c r="G5" s="31"/>
    </row>
    <row r="6" spans="1:7" ht="19" customHeight="1">
      <c r="A6" s="29"/>
      <c r="B6" s="29"/>
      <c r="C6" s="32"/>
      <c r="D6" s="32"/>
      <c r="E6" s="235" t="s">
        <v>168</v>
      </c>
      <c r="F6" s="38"/>
      <c r="G6" s="37"/>
    </row>
    <row r="7" spans="1:7" ht="35" customHeight="1">
      <c r="A7" s="29"/>
      <c r="B7" s="29"/>
      <c r="C7" s="29"/>
      <c r="D7" s="29"/>
      <c r="E7" s="29"/>
      <c r="F7" s="29"/>
      <c r="G7" s="29"/>
    </row>
    <row r="8" spans="1:7" ht="40" customHeight="1">
      <c r="A8" s="29"/>
      <c r="B8" s="29"/>
      <c r="C8" s="256" t="s">
        <v>120</v>
      </c>
      <c r="D8" s="39"/>
      <c r="E8" s="260">
        <v>0</v>
      </c>
      <c r="F8" s="33"/>
      <c r="G8" s="35" t="s">
        <v>123</v>
      </c>
    </row>
    <row r="9" spans="1:7" ht="25" customHeight="1">
      <c r="A9" s="29"/>
      <c r="B9" s="29"/>
      <c r="C9" s="257"/>
      <c r="D9" s="40"/>
      <c r="E9" s="261"/>
      <c r="F9" s="41"/>
      <c r="G9" s="36" t="s">
        <v>166</v>
      </c>
    </row>
    <row r="10" spans="1:7" ht="40" customHeight="1">
      <c r="A10" s="29"/>
      <c r="B10" s="29"/>
      <c r="C10" s="258" t="s">
        <v>146</v>
      </c>
      <c r="D10" s="39"/>
      <c r="E10" s="260">
        <v>0</v>
      </c>
      <c r="F10" s="33"/>
      <c r="G10" s="35" t="s">
        <v>148</v>
      </c>
    </row>
    <row r="11" spans="1:7" ht="25" customHeight="1">
      <c r="A11" s="29"/>
      <c r="B11" s="29"/>
      <c r="C11" s="259"/>
      <c r="D11" s="40"/>
      <c r="E11" s="261"/>
      <c r="F11" s="41"/>
      <c r="G11" s="36" t="s">
        <v>166</v>
      </c>
    </row>
    <row r="12" spans="1:7" ht="40" customHeight="1">
      <c r="A12" s="29"/>
      <c r="B12" s="29"/>
      <c r="C12" s="258" t="s">
        <v>147</v>
      </c>
      <c r="D12" s="39"/>
      <c r="E12" s="260">
        <v>0</v>
      </c>
      <c r="F12" s="33"/>
      <c r="G12" s="35" t="s">
        <v>149</v>
      </c>
    </row>
    <row r="13" spans="1:7" ht="25" customHeight="1">
      <c r="A13" s="29"/>
      <c r="B13" s="29"/>
      <c r="C13" s="259"/>
      <c r="D13" s="40"/>
      <c r="E13" s="261"/>
      <c r="F13" s="41"/>
      <c r="G13" s="36" t="s">
        <v>166</v>
      </c>
    </row>
    <row r="14" spans="1:7" ht="40" customHeight="1">
      <c r="A14" s="29"/>
      <c r="B14" s="29"/>
      <c r="C14" s="256" t="s">
        <v>122</v>
      </c>
      <c r="D14" s="39"/>
      <c r="E14" s="260">
        <v>1200</v>
      </c>
      <c r="F14" s="33"/>
      <c r="G14" s="34" t="s">
        <v>121</v>
      </c>
    </row>
    <row r="15" spans="1:7" ht="25" customHeight="1">
      <c r="A15" s="29"/>
      <c r="B15" s="29"/>
      <c r="C15" s="256"/>
      <c r="D15" s="39"/>
      <c r="E15" s="260"/>
      <c r="F15" s="33"/>
      <c r="G15" s="37" t="s">
        <v>167</v>
      </c>
    </row>
    <row r="16" spans="1:7" ht="15.5">
      <c r="A16" s="29"/>
      <c r="B16" s="29"/>
      <c r="C16" s="29"/>
      <c r="D16" s="29"/>
      <c r="E16" s="29"/>
      <c r="F16" s="29"/>
      <c r="G16" s="29"/>
    </row>
    <row r="17" spans="1:7" ht="15.5">
      <c r="A17" s="29"/>
      <c r="B17" s="29"/>
      <c r="C17" s="32"/>
      <c r="D17" s="32"/>
      <c r="E17" s="29"/>
      <c r="F17" s="29"/>
      <c r="G17" s="29"/>
    </row>
    <row r="18" spans="1:7">
      <c r="C18" s="24"/>
      <c r="D18" s="24"/>
    </row>
  </sheetData>
  <mergeCells count="10">
    <mergeCell ref="C2:G2"/>
    <mergeCell ref="C4:G4"/>
    <mergeCell ref="C8:C9"/>
    <mergeCell ref="C10:C11"/>
    <mergeCell ref="C14:C15"/>
    <mergeCell ref="E8:E9"/>
    <mergeCell ref="E10:E11"/>
    <mergeCell ref="E14:E15"/>
    <mergeCell ref="C12:C13"/>
    <mergeCell ref="E12:E1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FF00"/>
    <pageSetUpPr fitToPage="1"/>
  </sheetPr>
  <dimension ref="C1:O38"/>
  <sheetViews>
    <sheetView showGridLines="0" zoomScaleNormal="100" workbookViewId="0">
      <selection activeCell="O1" sqref="O1"/>
    </sheetView>
  </sheetViews>
  <sheetFormatPr defaultColWidth="8.81640625" defaultRowHeight="14.5"/>
  <cols>
    <col min="2" max="2" width="2.453125" customWidth="1"/>
    <col min="3" max="3" width="37.453125" customWidth="1"/>
    <col min="4" max="4" width="2.453125" customWidth="1"/>
    <col min="5" max="5" width="11.453125" customWidth="1"/>
    <col min="6" max="6" width="2.453125" customWidth="1"/>
    <col min="7" max="7" width="27.81640625" style="6" customWidth="1"/>
    <col min="8" max="8" width="5.1796875" customWidth="1"/>
    <col min="9" max="9" width="45.81640625" customWidth="1"/>
    <col min="10" max="10" width="2.453125" customWidth="1"/>
    <col min="11" max="11" width="12.81640625" customWidth="1"/>
    <col min="12" max="12" width="2.453125" customWidth="1"/>
    <col min="13" max="13" width="37.81640625" customWidth="1"/>
    <col min="15" max="15" width="9" customWidth="1"/>
  </cols>
  <sheetData>
    <row r="1" spans="3:15" ht="15" customHeight="1"/>
    <row r="2" spans="3:15" ht="60" customHeight="1">
      <c r="C2" s="268"/>
      <c r="D2" s="268"/>
      <c r="E2" s="268"/>
      <c r="F2" s="268"/>
      <c r="G2" s="268"/>
      <c r="H2" s="268"/>
      <c r="I2" s="268"/>
      <c r="J2" s="268"/>
      <c r="K2" s="268"/>
      <c r="L2" s="268"/>
      <c r="M2" s="268"/>
    </row>
    <row r="3" spans="3:15" ht="17" customHeight="1"/>
    <row r="4" spans="3:15" ht="23.5">
      <c r="C4" s="279" t="s">
        <v>30</v>
      </c>
      <c r="D4" s="279"/>
      <c r="E4" s="279"/>
      <c r="F4" s="279"/>
      <c r="G4" s="279"/>
      <c r="H4" s="279"/>
      <c r="I4" s="279" t="s">
        <v>32</v>
      </c>
      <c r="J4" s="279"/>
      <c r="K4" s="279"/>
      <c r="L4" s="279"/>
      <c r="M4" s="279"/>
    </row>
    <row r="5" spans="3:15" ht="18" customHeight="1">
      <c r="C5" s="49"/>
      <c r="D5" s="49"/>
      <c r="E5" s="38" t="s">
        <v>168</v>
      </c>
      <c r="F5" s="49"/>
      <c r="G5" s="49"/>
      <c r="H5" s="49"/>
      <c r="I5" s="49"/>
      <c r="J5" s="49"/>
      <c r="K5" s="38" t="s">
        <v>168</v>
      </c>
      <c r="L5" s="49"/>
      <c r="M5" s="49"/>
    </row>
    <row r="6" spans="3:15" s="38" customFormat="1" ht="18" customHeight="1"/>
    <row r="7" spans="3:15" ht="15.5">
      <c r="C7" s="42"/>
      <c r="D7" s="42"/>
      <c r="E7" s="43"/>
      <c r="F7" s="43"/>
      <c r="G7" s="44"/>
      <c r="H7" s="43"/>
      <c r="I7" s="42"/>
      <c r="J7" s="42"/>
      <c r="K7" s="43"/>
      <c r="L7" s="43"/>
      <c r="M7" s="43"/>
    </row>
    <row r="8" spans="3:15" ht="19" customHeight="1">
      <c r="C8" s="40" t="s">
        <v>28</v>
      </c>
      <c r="D8" s="60"/>
      <c r="E8" s="72">
        <v>180000</v>
      </c>
      <c r="F8" s="61"/>
      <c r="G8" s="62" t="s">
        <v>113</v>
      </c>
      <c r="H8" s="43"/>
      <c r="I8" s="40" t="s">
        <v>119</v>
      </c>
      <c r="J8" s="60"/>
      <c r="K8" s="77">
        <v>10</v>
      </c>
      <c r="L8" s="61"/>
      <c r="M8" s="62" t="s">
        <v>54</v>
      </c>
    </row>
    <row r="9" spans="3:15" ht="19" customHeight="1">
      <c r="C9" s="270" t="s">
        <v>93</v>
      </c>
      <c r="D9" s="58"/>
      <c r="E9" s="273">
        <v>500</v>
      </c>
      <c r="F9" s="63"/>
      <c r="G9" s="271" t="s">
        <v>114</v>
      </c>
      <c r="H9" s="43"/>
      <c r="I9" s="40" t="s">
        <v>77</v>
      </c>
      <c r="J9" s="60"/>
      <c r="K9" s="77">
        <v>9</v>
      </c>
      <c r="L9" s="61"/>
      <c r="M9" s="62" t="s">
        <v>55</v>
      </c>
    </row>
    <row r="10" spans="3:15" ht="19" customHeight="1">
      <c r="C10" s="257"/>
      <c r="D10" s="59"/>
      <c r="E10" s="274"/>
      <c r="F10" s="60"/>
      <c r="G10" s="272"/>
      <c r="H10" s="43"/>
      <c r="I10" s="64" t="s">
        <v>132</v>
      </c>
      <c r="J10" s="65"/>
      <c r="K10" s="73">
        <v>1</v>
      </c>
      <c r="L10" s="65"/>
      <c r="M10" s="66" t="s">
        <v>131</v>
      </c>
      <c r="O10" s="9"/>
    </row>
    <row r="11" spans="3:15" ht="19" customHeight="1">
      <c r="C11" s="64" t="s">
        <v>48</v>
      </c>
      <c r="D11" s="65"/>
      <c r="E11" s="73">
        <v>15</v>
      </c>
      <c r="F11" s="65"/>
      <c r="G11" s="66" t="s">
        <v>49</v>
      </c>
      <c r="H11" s="43"/>
      <c r="I11" s="64" t="s">
        <v>134</v>
      </c>
      <c r="J11" s="65"/>
      <c r="K11" s="81">
        <v>40</v>
      </c>
      <c r="L11" s="65"/>
      <c r="M11" s="66" t="s">
        <v>131</v>
      </c>
      <c r="O11" s="9"/>
    </row>
    <row r="12" spans="3:15" ht="19" customHeight="1">
      <c r="C12" s="64" t="s">
        <v>88</v>
      </c>
      <c r="D12" s="65"/>
      <c r="E12" s="73">
        <v>3</v>
      </c>
      <c r="F12" s="65"/>
      <c r="G12" s="66" t="s">
        <v>49</v>
      </c>
      <c r="H12" s="43"/>
      <c r="I12" s="64" t="s">
        <v>135</v>
      </c>
      <c r="J12" s="65"/>
      <c r="K12" s="81">
        <v>52</v>
      </c>
      <c r="L12" s="65"/>
      <c r="M12" s="66" t="s">
        <v>131</v>
      </c>
    </row>
    <row r="13" spans="3:15" ht="19" customHeight="1">
      <c r="C13" s="64" t="s">
        <v>50</v>
      </c>
      <c r="D13" s="65"/>
      <c r="E13" s="73">
        <v>1</v>
      </c>
      <c r="F13" s="65"/>
      <c r="G13" s="66"/>
      <c r="H13" s="43"/>
      <c r="I13" s="40" t="s">
        <v>78</v>
      </c>
      <c r="J13" s="60"/>
      <c r="K13" s="77">
        <v>17</v>
      </c>
      <c r="L13" s="61"/>
      <c r="M13" s="62" t="s">
        <v>55</v>
      </c>
    </row>
    <row r="14" spans="3:15" ht="19" customHeight="1">
      <c r="C14" s="64" t="s">
        <v>51</v>
      </c>
      <c r="D14" s="65"/>
      <c r="E14" s="74">
        <v>0.85</v>
      </c>
      <c r="F14" s="65"/>
      <c r="G14" s="66" t="s">
        <v>170</v>
      </c>
      <c r="H14" s="43"/>
      <c r="I14" s="64" t="s">
        <v>133</v>
      </c>
      <c r="J14" s="65"/>
      <c r="K14" s="73">
        <v>1</v>
      </c>
      <c r="L14" s="65"/>
      <c r="M14" s="66" t="s">
        <v>131</v>
      </c>
    </row>
    <row r="15" spans="3:15" ht="19" customHeight="1">
      <c r="C15" s="64" t="s">
        <v>102</v>
      </c>
      <c r="D15" s="65"/>
      <c r="E15" s="75">
        <v>9.5</v>
      </c>
      <c r="F15" s="65"/>
      <c r="G15" s="66" t="s">
        <v>52</v>
      </c>
      <c r="H15" s="43"/>
      <c r="I15" s="64" t="s">
        <v>136</v>
      </c>
      <c r="J15" s="65"/>
      <c r="K15" s="81">
        <v>40</v>
      </c>
      <c r="L15" s="65"/>
      <c r="M15" s="66" t="s">
        <v>131</v>
      </c>
    </row>
    <row r="16" spans="3:15" ht="19" customHeight="1">
      <c r="C16" s="269" t="s">
        <v>108</v>
      </c>
      <c r="D16" s="68"/>
      <c r="E16" s="275">
        <v>12.5</v>
      </c>
      <c r="F16" s="69"/>
      <c r="G16" s="271" t="s">
        <v>52</v>
      </c>
      <c r="H16" s="43"/>
      <c r="I16" s="64" t="s">
        <v>137</v>
      </c>
      <c r="J16" s="65"/>
      <c r="K16" s="81">
        <v>52</v>
      </c>
      <c r="L16" s="65"/>
      <c r="M16" s="66" t="s">
        <v>131</v>
      </c>
    </row>
    <row r="17" spans="3:13" ht="19" customHeight="1">
      <c r="C17" s="258"/>
      <c r="D17" s="70"/>
      <c r="E17" s="276"/>
      <c r="F17" s="51"/>
      <c r="G17" s="278"/>
      <c r="H17" s="43"/>
      <c r="I17" s="40" t="s">
        <v>29</v>
      </c>
      <c r="J17" s="60"/>
      <c r="K17" s="77">
        <v>500</v>
      </c>
      <c r="L17" s="61"/>
      <c r="M17" s="62" t="s">
        <v>56</v>
      </c>
    </row>
    <row r="18" spans="3:13" ht="24.75" customHeight="1">
      <c r="C18" s="259"/>
      <c r="D18" s="71"/>
      <c r="E18" s="277"/>
      <c r="F18" s="67"/>
      <c r="G18" s="272"/>
      <c r="H18" s="43"/>
      <c r="I18" s="40" t="s">
        <v>82</v>
      </c>
      <c r="J18" s="60"/>
      <c r="K18" s="77">
        <v>500</v>
      </c>
      <c r="L18" s="61"/>
      <c r="M18" s="62" t="s">
        <v>56</v>
      </c>
    </row>
    <row r="19" spans="3:13" ht="19" customHeight="1">
      <c r="C19" s="64" t="s">
        <v>103</v>
      </c>
      <c r="D19" s="65"/>
      <c r="E19" s="74">
        <v>0.2</v>
      </c>
      <c r="F19" s="65"/>
      <c r="G19" s="66"/>
      <c r="H19" s="43"/>
      <c r="I19" s="40" t="s">
        <v>83</v>
      </c>
      <c r="J19" s="60"/>
      <c r="K19" s="77">
        <v>0</v>
      </c>
      <c r="L19" s="61"/>
      <c r="M19" s="62" t="s">
        <v>56</v>
      </c>
    </row>
    <row r="20" spans="3:13" ht="19" customHeight="1">
      <c r="C20" s="39" t="s">
        <v>53</v>
      </c>
      <c r="D20" s="45"/>
      <c r="E20" s="76">
        <v>4000</v>
      </c>
      <c r="F20" s="51"/>
      <c r="G20" s="47" t="s">
        <v>56</v>
      </c>
      <c r="H20" s="43"/>
      <c r="I20" s="40" t="s">
        <v>57</v>
      </c>
      <c r="J20" s="60"/>
      <c r="K20" s="77">
        <v>500</v>
      </c>
      <c r="L20" s="61"/>
      <c r="M20" s="62" t="s">
        <v>56</v>
      </c>
    </row>
    <row r="21" spans="3:13" ht="19" customHeight="1">
      <c r="C21" s="43"/>
      <c r="D21" s="43"/>
      <c r="E21" s="55"/>
      <c r="F21" s="43"/>
      <c r="G21" s="44"/>
      <c r="H21" s="43"/>
      <c r="I21" s="40" t="s">
        <v>101</v>
      </c>
      <c r="J21" s="60"/>
      <c r="K21" s="77">
        <v>50000</v>
      </c>
      <c r="L21" s="61"/>
      <c r="M21" s="62" t="s">
        <v>56</v>
      </c>
    </row>
    <row r="22" spans="3:13" ht="19" customHeight="1">
      <c r="C22" s="43"/>
      <c r="D22" s="43"/>
      <c r="E22" s="43"/>
      <c r="F22" s="43"/>
      <c r="G22" s="44"/>
      <c r="H22" s="43"/>
      <c r="I22" s="64" t="s">
        <v>72</v>
      </c>
      <c r="J22" s="65"/>
      <c r="K22" s="74">
        <v>0.06</v>
      </c>
      <c r="L22" s="65"/>
      <c r="M22" s="66" t="s">
        <v>115</v>
      </c>
    </row>
    <row r="23" spans="3:13" ht="15" customHeight="1">
      <c r="C23" s="43"/>
      <c r="D23" s="43"/>
      <c r="E23" s="43"/>
      <c r="F23" s="43"/>
      <c r="G23" s="44"/>
      <c r="H23" s="43"/>
      <c r="I23" s="269" t="s">
        <v>126</v>
      </c>
      <c r="J23" s="266"/>
      <c r="K23" s="280">
        <v>0.05</v>
      </c>
      <c r="L23" s="264"/>
      <c r="M23" s="262" t="s">
        <v>115</v>
      </c>
    </row>
    <row r="24" spans="3:13" ht="19" customHeight="1">
      <c r="C24" s="110" t="s">
        <v>31</v>
      </c>
      <c r="D24" s="49"/>
      <c r="E24" s="43"/>
      <c r="F24" s="43"/>
      <c r="G24" s="44"/>
      <c r="H24" s="43"/>
      <c r="I24" s="259"/>
      <c r="J24" s="267"/>
      <c r="K24" s="281"/>
      <c r="L24" s="265"/>
      <c r="M24" s="263"/>
    </row>
    <row r="25" spans="3:13" ht="19" customHeight="1">
      <c r="C25" s="49"/>
      <c r="D25" s="49"/>
      <c r="E25" s="38" t="s">
        <v>168</v>
      </c>
      <c r="F25" s="43"/>
      <c r="G25" s="44"/>
      <c r="H25" s="43"/>
      <c r="I25" s="39" t="s">
        <v>34</v>
      </c>
      <c r="J25" s="45"/>
      <c r="K25" s="76">
        <v>6000</v>
      </c>
      <c r="L25" s="51"/>
      <c r="M25" s="47" t="s">
        <v>56</v>
      </c>
    </row>
    <row r="26" spans="3:13" ht="19" customHeight="1">
      <c r="C26" s="49"/>
      <c r="D26" s="49"/>
      <c r="E26" s="43"/>
      <c r="F26" s="43"/>
      <c r="G26" s="44"/>
      <c r="H26" s="43"/>
      <c r="I26" s="43"/>
      <c r="J26" s="43"/>
      <c r="K26" s="56"/>
      <c r="L26" s="50"/>
      <c r="M26" s="47"/>
    </row>
    <row r="27" spans="3:13" ht="15" customHeight="1">
      <c r="C27" s="42"/>
      <c r="D27" s="42"/>
      <c r="E27" s="43"/>
      <c r="F27" s="43"/>
      <c r="G27" s="44"/>
      <c r="H27" s="43"/>
      <c r="I27" s="43"/>
      <c r="J27" s="43"/>
      <c r="K27" s="56"/>
      <c r="L27" s="50"/>
      <c r="M27" s="47"/>
    </row>
    <row r="28" spans="3:13" ht="19" customHeight="1">
      <c r="C28" s="40" t="s">
        <v>58</v>
      </c>
      <c r="D28" s="60"/>
      <c r="E28" s="77">
        <v>0.89</v>
      </c>
      <c r="F28" s="61"/>
      <c r="G28" s="62" t="s">
        <v>59</v>
      </c>
      <c r="H28" s="43"/>
      <c r="I28" s="43"/>
      <c r="J28" s="43"/>
      <c r="K28" s="43"/>
      <c r="L28" s="43"/>
      <c r="M28" s="43"/>
    </row>
    <row r="29" spans="3:13" ht="19" customHeight="1">
      <c r="C29" s="64" t="s">
        <v>17</v>
      </c>
      <c r="D29" s="65"/>
      <c r="E29" s="73">
        <v>100</v>
      </c>
      <c r="F29" s="65"/>
      <c r="G29" s="66" t="s">
        <v>61</v>
      </c>
      <c r="H29" s="43"/>
      <c r="I29" s="110" t="s">
        <v>169</v>
      </c>
      <c r="J29" s="49"/>
      <c r="K29" s="49"/>
      <c r="L29" s="49"/>
      <c r="M29" s="49"/>
    </row>
    <row r="30" spans="3:13" ht="19" customHeight="1">
      <c r="C30" s="40" t="s">
        <v>62</v>
      </c>
      <c r="D30" s="60"/>
      <c r="E30" s="77">
        <v>1</v>
      </c>
      <c r="F30" s="61"/>
      <c r="G30" s="62" t="s">
        <v>63</v>
      </c>
      <c r="H30" s="43"/>
      <c r="I30" s="40" t="s">
        <v>202</v>
      </c>
      <c r="J30" s="49"/>
      <c r="K30" s="84">
        <f>E8/E12/E9</f>
        <v>120</v>
      </c>
      <c r="L30" s="49"/>
      <c r="M30" s="49"/>
    </row>
    <row r="31" spans="3:13" ht="19" customHeight="1">
      <c r="C31" s="39" t="s">
        <v>18</v>
      </c>
      <c r="D31" s="45"/>
      <c r="E31" s="76">
        <v>1000</v>
      </c>
      <c r="F31" s="51"/>
      <c r="G31" s="47" t="s">
        <v>56</v>
      </c>
      <c r="H31" s="43"/>
      <c r="I31" s="40" t="s">
        <v>203</v>
      </c>
      <c r="J31" s="49"/>
      <c r="K31" s="84">
        <f>E12*K30</f>
        <v>360</v>
      </c>
      <c r="L31" s="49"/>
      <c r="M31" s="49"/>
    </row>
    <row r="32" spans="3:13" ht="19" customHeight="1">
      <c r="C32" s="43"/>
      <c r="D32" s="43"/>
      <c r="E32" s="43"/>
      <c r="F32" s="43"/>
      <c r="G32" s="44"/>
      <c r="H32" s="43"/>
      <c r="I32" s="40" t="s">
        <v>95</v>
      </c>
      <c r="J32" s="60"/>
      <c r="K32" s="84">
        <f>E12*K30</f>
        <v>360</v>
      </c>
      <c r="L32" s="46"/>
      <c r="M32" s="43"/>
    </row>
    <row r="33" spans="3:13" ht="19" customHeight="1">
      <c r="C33" s="43"/>
      <c r="D33" s="43"/>
      <c r="E33" s="43"/>
      <c r="F33" s="43"/>
      <c r="G33" s="44"/>
      <c r="H33" s="43"/>
      <c r="I33" s="40" t="s">
        <v>60</v>
      </c>
      <c r="J33" s="60"/>
      <c r="K33" s="85">
        <f>E8</f>
        <v>180000</v>
      </c>
      <c r="L33" s="48"/>
      <c r="M33" s="43"/>
    </row>
    <row r="34" spans="3:13" ht="19" customHeight="1">
      <c r="C34" s="43"/>
      <c r="D34" s="43"/>
      <c r="E34" s="43"/>
      <c r="F34" s="43"/>
      <c r="G34" s="44"/>
      <c r="H34" s="43"/>
      <c r="I34" s="40" t="s">
        <v>64</v>
      </c>
      <c r="J34" s="60"/>
      <c r="K34" s="85">
        <f>K30*E9</f>
        <v>60000</v>
      </c>
      <c r="L34" s="52"/>
      <c r="M34" s="43"/>
    </row>
    <row r="35" spans="3:13" ht="15.5">
      <c r="C35" s="43"/>
      <c r="D35" s="43"/>
      <c r="E35" s="43"/>
      <c r="F35" s="43"/>
      <c r="G35" s="44"/>
      <c r="I35" s="40" t="s">
        <v>111</v>
      </c>
      <c r="J35" s="60"/>
      <c r="K35" s="85">
        <f>K36/E12</f>
        <v>70588.23529411765</v>
      </c>
      <c r="L35" s="85"/>
      <c r="M35" s="233" t="s">
        <v>112</v>
      </c>
    </row>
    <row r="36" spans="3:13" ht="15.5">
      <c r="C36" s="43"/>
      <c r="D36" s="43"/>
      <c r="E36" s="43"/>
      <c r="F36" s="43"/>
      <c r="G36" s="44"/>
      <c r="I36" s="57" t="s">
        <v>86</v>
      </c>
      <c r="J36" s="43"/>
      <c r="K36" s="86">
        <f>E8/E14</f>
        <v>211764.70588235295</v>
      </c>
      <c r="L36" s="48"/>
      <c r="M36" s="42" t="s">
        <v>65</v>
      </c>
    </row>
    <row r="37" spans="3:13" ht="15.5">
      <c r="I37" s="43"/>
      <c r="J37" s="43"/>
      <c r="K37" s="43"/>
      <c r="L37" s="43"/>
      <c r="M37" s="42"/>
    </row>
    <row r="38" spans="3:13" ht="15.5">
      <c r="M38" s="43"/>
    </row>
  </sheetData>
  <mergeCells count="14">
    <mergeCell ref="M23:M24"/>
    <mergeCell ref="L23:L24"/>
    <mergeCell ref="J23:J24"/>
    <mergeCell ref="C2:M2"/>
    <mergeCell ref="I23:I24"/>
    <mergeCell ref="C9:C10"/>
    <mergeCell ref="G9:G10"/>
    <mergeCell ref="E9:E10"/>
    <mergeCell ref="C16:C18"/>
    <mergeCell ref="E16:E18"/>
    <mergeCell ref="G16:G18"/>
    <mergeCell ref="C4:H4"/>
    <mergeCell ref="I4:M4"/>
    <mergeCell ref="K23:K24"/>
  </mergeCells>
  <printOptions headings="1" gridLines="1"/>
  <pageMargins left="0.7" right="0.7" top="0.75" bottom="0.75" header="0.3" footer="0.3"/>
  <pageSetup scale="6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00B0F0"/>
    <pageSetUpPr fitToPage="1"/>
  </sheetPr>
  <dimension ref="C2:T51"/>
  <sheetViews>
    <sheetView showGridLines="0" zoomScaleNormal="100" workbookViewId="0">
      <selection activeCell="W1" sqref="W1"/>
    </sheetView>
  </sheetViews>
  <sheetFormatPr defaultColWidth="8.81640625" defaultRowHeight="14.5"/>
  <cols>
    <col min="2" max="2" width="2.453125" customWidth="1"/>
    <col min="3" max="3" width="23.453125" customWidth="1"/>
    <col min="4" max="4" width="3.453125" customWidth="1"/>
    <col min="5" max="5" width="9.1796875" customWidth="1"/>
    <col min="6" max="6" width="8.453125" customWidth="1"/>
    <col min="7" max="7" width="11.453125" bestFit="1" customWidth="1"/>
    <col min="8" max="8" width="3.453125" customWidth="1"/>
    <col min="9" max="9" width="12.453125" bestFit="1" customWidth="1"/>
    <col min="10" max="10" width="12.453125" customWidth="1"/>
    <col min="11" max="12" width="10" customWidth="1"/>
    <col min="13" max="13" width="14.453125" customWidth="1"/>
    <col min="14" max="14" width="3.453125" customWidth="1"/>
    <col min="15" max="15" width="13.453125" bestFit="1" customWidth="1"/>
  </cols>
  <sheetData>
    <row r="2" spans="3:15" ht="60" customHeight="1">
      <c r="C2" s="20"/>
      <c r="D2" s="20"/>
    </row>
    <row r="5" spans="3:15" ht="23.5">
      <c r="C5" s="110" t="s">
        <v>35</v>
      </c>
      <c r="D5" s="110"/>
      <c r="E5" s="110"/>
      <c r="F5" s="110"/>
      <c r="G5" s="110"/>
      <c r="H5" s="110"/>
      <c r="I5" s="110"/>
      <c r="J5" s="110"/>
      <c r="K5" s="110"/>
      <c r="L5" s="110"/>
      <c r="M5" s="110"/>
      <c r="N5" s="110"/>
      <c r="O5" s="110"/>
    </row>
    <row r="6" spans="3:15" ht="15.5">
      <c r="C6" s="5" t="s">
        <v>177</v>
      </c>
      <c r="D6" s="5"/>
      <c r="E6" s="5"/>
      <c r="F6" s="5"/>
      <c r="G6" s="5"/>
      <c r="H6" s="5"/>
      <c r="I6" s="5"/>
      <c r="J6" s="5"/>
      <c r="K6" s="5"/>
      <c r="L6" s="38" t="s">
        <v>168</v>
      </c>
      <c r="M6" s="38"/>
      <c r="N6" s="38"/>
      <c r="O6" s="38"/>
    </row>
    <row r="7" spans="3:15">
      <c r="C7" s="5"/>
      <c r="D7" s="5"/>
      <c r="E7" s="5"/>
      <c r="F7" s="5"/>
      <c r="G7" s="5"/>
      <c r="H7" s="5"/>
      <c r="I7" s="5"/>
      <c r="J7" s="5"/>
      <c r="K7" s="5"/>
      <c r="L7" s="5"/>
      <c r="M7" s="5"/>
      <c r="N7" s="5"/>
      <c r="O7" s="5"/>
    </row>
    <row r="8" spans="3:15" ht="15" customHeight="1">
      <c r="C8" s="5"/>
      <c r="D8" s="5"/>
      <c r="E8" s="284" t="s">
        <v>168</v>
      </c>
      <c r="F8" s="284"/>
      <c r="G8" s="284"/>
      <c r="H8" s="284"/>
      <c r="I8" s="5"/>
      <c r="J8" s="5"/>
      <c r="K8" s="5"/>
      <c r="L8" s="5"/>
      <c r="M8" s="5"/>
      <c r="N8" s="5"/>
      <c r="O8" s="5"/>
    </row>
    <row r="9" spans="3:15" s="21" customFormat="1" ht="64" customHeight="1">
      <c r="C9" s="109" t="s">
        <v>43</v>
      </c>
      <c r="D9" s="87"/>
      <c r="E9" s="88" t="s">
        <v>37</v>
      </c>
      <c r="F9" s="88" t="s">
        <v>36</v>
      </c>
      <c r="G9" s="88" t="s">
        <v>66</v>
      </c>
      <c r="H9" s="88"/>
      <c r="I9" s="88" t="s">
        <v>9</v>
      </c>
      <c r="J9" s="88"/>
      <c r="K9" s="88" t="s">
        <v>179</v>
      </c>
      <c r="L9" s="88" t="s">
        <v>1</v>
      </c>
      <c r="M9" s="88" t="s">
        <v>183</v>
      </c>
      <c r="N9" s="88"/>
      <c r="O9" s="88" t="s">
        <v>11</v>
      </c>
    </row>
    <row r="10" spans="3:15" s="21" customFormat="1" ht="15.5">
      <c r="C10" s="87"/>
      <c r="D10" s="87"/>
      <c r="E10" s="88"/>
      <c r="F10" s="88"/>
      <c r="G10" s="88"/>
      <c r="H10" s="88"/>
      <c r="I10" s="88"/>
      <c r="J10" s="88"/>
      <c r="K10" s="88"/>
      <c r="L10" s="88"/>
      <c r="M10" s="88"/>
      <c r="N10" s="88"/>
      <c r="O10" s="88"/>
    </row>
    <row r="11" spans="3:15" ht="15.5">
      <c r="C11" s="40" t="s">
        <v>41</v>
      </c>
      <c r="D11" s="94"/>
      <c r="E11" s="80">
        <v>1</v>
      </c>
      <c r="F11" s="80" t="s">
        <v>67</v>
      </c>
      <c r="G11" s="103">
        <v>8000</v>
      </c>
      <c r="H11" s="94"/>
      <c r="I11" s="95">
        <f>E11*G11</f>
        <v>8000</v>
      </c>
      <c r="J11" s="90"/>
      <c r="K11" s="80">
        <v>12</v>
      </c>
      <c r="L11" s="103">
        <v>0</v>
      </c>
      <c r="M11" s="83">
        <v>1</v>
      </c>
      <c r="N11" s="94"/>
      <c r="O11" s="95">
        <f>((I11-L11)/K11)*M11</f>
        <v>666.66666666666663</v>
      </c>
    </row>
    <row r="12" spans="3:15" ht="15.5">
      <c r="C12" s="40" t="s">
        <v>68</v>
      </c>
      <c r="D12" s="94"/>
      <c r="E12" s="80">
        <v>30</v>
      </c>
      <c r="F12" s="80" t="s">
        <v>67</v>
      </c>
      <c r="G12" s="103">
        <v>20</v>
      </c>
      <c r="H12" s="94"/>
      <c r="I12" s="95">
        <f t="shared" ref="I12:I18" si="0">E12*G12</f>
        <v>600</v>
      </c>
      <c r="J12" s="90"/>
      <c r="K12" s="80">
        <v>4</v>
      </c>
      <c r="L12" s="103">
        <v>0</v>
      </c>
      <c r="M12" s="83">
        <v>1</v>
      </c>
      <c r="N12" s="94"/>
      <c r="O12" s="95">
        <f t="shared" ref="O12:O18" si="1">((I12-L12)/K12)*M12</f>
        <v>150</v>
      </c>
    </row>
    <row r="13" spans="3:15" ht="15.5">
      <c r="C13" s="40" t="s">
        <v>5</v>
      </c>
      <c r="D13" s="94"/>
      <c r="E13" s="80">
        <v>1</v>
      </c>
      <c r="F13" s="80" t="s">
        <v>67</v>
      </c>
      <c r="G13" s="103">
        <v>12000</v>
      </c>
      <c r="H13" s="94"/>
      <c r="I13" s="95">
        <f t="shared" si="0"/>
        <v>12000</v>
      </c>
      <c r="J13" s="90"/>
      <c r="K13" s="80">
        <v>12</v>
      </c>
      <c r="L13" s="103">
        <v>0</v>
      </c>
      <c r="M13" s="83">
        <v>1</v>
      </c>
      <c r="N13" s="94"/>
      <c r="O13" s="95">
        <f t="shared" si="1"/>
        <v>1000</v>
      </c>
    </row>
    <row r="14" spans="3:15" ht="15.5">
      <c r="C14" s="40" t="s">
        <v>94</v>
      </c>
      <c r="D14" s="94"/>
      <c r="E14" s="80">
        <f>Assumptions!K31</f>
        <v>360</v>
      </c>
      <c r="F14" s="80" t="s">
        <v>67</v>
      </c>
      <c r="G14" s="103">
        <v>50</v>
      </c>
      <c r="H14" s="94"/>
      <c r="I14" s="95">
        <f t="shared" si="0"/>
        <v>18000</v>
      </c>
      <c r="J14" s="90"/>
      <c r="K14" s="80">
        <v>7</v>
      </c>
      <c r="L14" s="103">
        <v>0</v>
      </c>
      <c r="M14" s="83">
        <v>1</v>
      </c>
      <c r="N14" s="94"/>
      <c r="O14" s="95">
        <f t="shared" si="1"/>
        <v>2571.4285714285716</v>
      </c>
    </row>
    <row r="15" spans="3:15" ht="15.5">
      <c r="C15" s="40" t="s">
        <v>180</v>
      </c>
      <c r="D15" s="94"/>
      <c r="E15" s="80">
        <v>1000</v>
      </c>
      <c r="F15" s="80" t="s">
        <v>67</v>
      </c>
      <c r="G15" s="103">
        <v>20</v>
      </c>
      <c r="H15" s="94"/>
      <c r="I15" s="95">
        <f t="shared" si="0"/>
        <v>20000</v>
      </c>
      <c r="J15" s="90"/>
      <c r="K15" s="80">
        <v>4</v>
      </c>
      <c r="L15" s="103">
        <v>0</v>
      </c>
      <c r="M15" s="83">
        <v>1</v>
      </c>
      <c r="N15" s="94"/>
      <c r="O15" s="95">
        <f t="shared" si="1"/>
        <v>5000</v>
      </c>
    </row>
    <row r="16" spans="3:15" ht="15.5">
      <c r="C16" s="40" t="s">
        <v>98</v>
      </c>
      <c r="D16" s="94"/>
      <c r="E16" s="80">
        <v>100</v>
      </c>
      <c r="F16" s="80" t="s">
        <v>67</v>
      </c>
      <c r="G16" s="103">
        <v>250</v>
      </c>
      <c r="H16" s="94"/>
      <c r="I16" s="95">
        <f t="shared" si="0"/>
        <v>25000</v>
      </c>
      <c r="J16" s="90"/>
      <c r="K16" s="80">
        <v>7</v>
      </c>
      <c r="L16" s="103">
        <v>0</v>
      </c>
      <c r="M16" s="83">
        <v>1</v>
      </c>
      <c r="N16" s="94"/>
      <c r="O16" s="95">
        <f t="shared" si="1"/>
        <v>3571.4285714285716</v>
      </c>
    </row>
    <row r="17" spans="3:20" ht="15.5">
      <c r="C17" s="40" t="s">
        <v>84</v>
      </c>
      <c r="D17" s="94"/>
      <c r="E17" s="80">
        <v>1</v>
      </c>
      <c r="F17" s="80" t="s">
        <v>67</v>
      </c>
      <c r="G17" s="103">
        <v>300</v>
      </c>
      <c r="H17" s="94"/>
      <c r="I17" s="95">
        <f>E17*G17</f>
        <v>300</v>
      </c>
      <c r="J17" s="90"/>
      <c r="K17" s="80">
        <v>6</v>
      </c>
      <c r="L17" s="103">
        <v>0</v>
      </c>
      <c r="M17" s="83">
        <v>1</v>
      </c>
      <c r="N17" s="94"/>
      <c r="O17" s="95">
        <f t="shared" si="1"/>
        <v>50</v>
      </c>
    </row>
    <row r="18" spans="3:20" ht="15.5">
      <c r="C18" s="78" t="s">
        <v>99</v>
      </c>
      <c r="D18" s="99"/>
      <c r="E18" s="79">
        <v>1</v>
      </c>
      <c r="F18" s="79" t="s">
        <v>67</v>
      </c>
      <c r="G18" s="104">
        <v>1500</v>
      </c>
      <c r="H18" s="99"/>
      <c r="I18" s="108">
        <f t="shared" si="0"/>
        <v>1500</v>
      </c>
      <c r="J18" s="90"/>
      <c r="K18" s="80">
        <v>12</v>
      </c>
      <c r="L18" s="103">
        <v>0</v>
      </c>
      <c r="M18" s="83">
        <v>1</v>
      </c>
      <c r="N18" s="94"/>
      <c r="O18" s="95">
        <f t="shared" si="1"/>
        <v>125</v>
      </c>
    </row>
    <row r="19" spans="3:20" ht="15.5">
      <c r="C19" s="78" t="s">
        <v>15</v>
      </c>
      <c r="D19" s="99"/>
      <c r="E19" s="79"/>
      <c r="F19" s="79" t="s">
        <v>67</v>
      </c>
      <c r="G19" s="104">
        <v>0</v>
      </c>
      <c r="H19" s="99"/>
      <c r="I19" s="108">
        <v>0</v>
      </c>
      <c r="J19" s="90"/>
      <c r="K19" s="80"/>
      <c r="L19" s="103">
        <v>0</v>
      </c>
      <c r="M19" s="83">
        <v>1</v>
      </c>
      <c r="N19" s="94"/>
      <c r="O19" s="95">
        <v>0</v>
      </c>
    </row>
    <row r="20" spans="3:20" ht="15.5">
      <c r="C20" s="78" t="s">
        <v>15</v>
      </c>
      <c r="D20" s="99"/>
      <c r="E20" s="79"/>
      <c r="F20" s="79" t="s">
        <v>67</v>
      </c>
      <c r="G20" s="104">
        <v>0</v>
      </c>
      <c r="H20" s="99"/>
      <c r="I20" s="108">
        <v>0</v>
      </c>
      <c r="J20" s="90"/>
      <c r="K20" s="80"/>
      <c r="L20" s="103">
        <v>0</v>
      </c>
      <c r="M20" s="83">
        <v>1</v>
      </c>
      <c r="N20" s="94"/>
      <c r="O20" s="95">
        <v>0</v>
      </c>
    </row>
    <row r="21" spans="3:20" ht="15.5">
      <c r="C21" s="78" t="s">
        <v>15</v>
      </c>
      <c r="D21" s="99"/>
      <c r="E21" s="79"/>
      <c r="F21" s="79" t="s">
        <v>67</v>
      </c>
      <c r="G21" s="104">
        <v>0</v>
      </c>
      <c r="H21" s="99"/>
      <c r="I21" s="108">
        <v>0</v>
      </c>
      <c r="J21" s="90"/>
      <c r="K21" s="80"/>
      <c r="L21" s="103">
        <v>0</v>
      </c>
      <c r="M21" s="83">
        <v>1</v>
      </c>
      <c r="N21" s="94"/>
      <c r="O21" s="95">
        <v>0</v>
      </c>
    </row>
    <row r="22" spans="3:20" ht="15.5">
      <c r="C22" s="78" t="s">
        <v>15</v>
      </c>
      <c r="D22" s="99"/>
      <c r="E22" s="79"/>
      <c r="F22" s="79" t="s">
        <v>67</v>
      </c>
      <c r="G22" s="104">
        <v>0</v>
      </c>
      <c r="H22" s="99"/>
      <c r="I22" s="90">
        <v>0</v>
      </c>
      <c r="J22" s="90"/>
      <c r="K22" s="79"/>
      <c r="L22" s="104">
        <v>0</v>
      </c>
      <c r="M22" s="82">
        <v>1</v>
      </c>
      <c r="N22" s="99"/>
      <c r="O22" s="100">
        <v>0</v>
      </c>
    </row>
    <row r="23" spans="3:20" ht="15.5">
      <c r="C23" s="39"/>
      <c r="D23" s="96"/>
      <c r="E23" s="97"/>
      <c r="F23" s="97"/>
      <c r="G23" s="98"/>
      <c r="H23" s="89"/>
      <c r="I23" s="90"/>
      <c r="J23" s="90"/>
      <c r="K23" s="105"/>
      <c r="L23" s="112"/>
      <c r="M23" s="113"/>
      <c r="N23" s="96"/>
      <c r="O23" s="98"/>
    </row>
    <row r="24" spans="3:20" s="4" customFormat="1" ht="26" customHeight="1">
      <c r="C24" s="282" t="s">
        <v>45</v>
      </c>
      <c r="D24" s="282"/>
      <c r="E24" s="282"/>
      <c r="F24" s="282"/>
      <c r="G24" s="282"/>
      <c r="H24" s="101"/>
      <c r="I24" s="102">
        <f>SUM(I11:I18)</f>
        <v>85400</v>
      </c>
      <c r="J24" s="91"/>
      <c r="K24" s="282" t="s">
        <v>178</v>
      </c>
      <c r="L24" s="282"/>
      <c r="M24" s="282"/>
      <c r="N24" s="111"/>
      <c r="O24" s="102">
        <f>SUM(O11:O18)</f>
        <v>13134.523809523809</v>
      </c>
    </row>
    <row r="25" spans="3:20" s="4" customFormat="1" ht="19" customHeight="1">
      <c r="C25" s="111"/>
      <c r="D25" s="111"/>
      <c r="E25" s="111"/>
      <c r="F25" s="111"/>
      <c r="G25" s="111"/>
      <c r="H25" s="101"/>
      <c r="I25" s="102"/>
      <c r="J25" s="91"/>
      <c r="K25" s="111"/>
      <c r="L25" s="111"/>
      <c r="M25" s="111"/>
      <c r="N25" s="111"/>
      <c r="O25" s="102"/>
    </row>
    <row r="26" spans="3:20" ht="15.5">
      <c r="C26" s="92"/>
      <c r="D26" s="92"/>
      <c r="E26" s="92"/>
      <c r="F26" s="92"/>
      <c r="G26" s="92"/>
      <c r="H26" s="92"/>
      <c r="I26" s="92"/>
      <c r="J26" s="92"/>
      <c r="K26" s="92"/>
      <c r="L26" s="92"/>
      <c r="M26" s="92"/>
      <c r="N26" s="92"/>
      <c r="O26" s="92"/>
    </row>
    <row r="27" spans="3:20" ht="15.5">
      <c r="C27" s="92"/>
      <c r="D27" s="92"/>
      <c r="E27" s="92"/>
      <c r="F27" s="92"/>
      <c r="G27" s="92"/>
      <c r="H27" s="92"/>
      <c r="I27" s="92"/>
      <c r="J27" s="92"/>
      <c r="K27" s="92"/>
      <c r="L27" s="92"/>
      <c r="M27" s="92"/>
      <c r="N27" s="92"/>
      <c r="O27" s="92"/>
    </row>
    <row r="28" spans="3:20" ht="15.5">
      <c r="C28" s="92"/>
      <c r="D28" s="92"/>
      <c r="E28" s="92"/>
      <c r="F28" s="92"/>
      <c r="G28" s="92"/>
      <c r="H28" s="92"/>
      <c r="I28" s="92"/>
      <c r="J28" s="92"/>
      <c r="K28" s="92"/>
      <c r="L28" s="92"/>
      <c r="M28" s="92"/>
      <c r="N28" s="92"/>
      <c r="O28" s="92"/>
    </row>
    <row r="29" spans="3:20" ht="15.5">
      <c r="C29" s="92"/>
      <c r="D29" s="92"/>
      <c r="E29" s="92"/>
      <c r="F29" s="92"/>
      <c r="G29" s="92"/>
      <c r="H29" s="92"/>
      <c r="I29" s="92"/>
      <c r="J29" s="92"/>
      <c r="K29" s="92"/>
      <c r="L29" s="92"/>
      <c r="M29" s="92"/>
      <c r="N29" s="92"/>
      <c r="O29" s="92"/>
    </row>
    <row r="30" spans="3:20" ht="63.5">
      <c r="C30" s="109" t="s">
        <v>44</v>
      </c>
      <c r="D30" s="87"/>
      <c r="E30" s="87" t="s">
        <v>37</v>
      </c>
      <c r="F30" s="88" t="s">
        <v>36</v>
      </c>
      <c r="G30" s="88" t="s">
        <v>66</v>
      </c>
      <c r="H30" s="88"/>
      <c r="I30" s="88" t="s">
        <v>9</v>
      </c>
      <c r="J30" s="88"/>
      <c r="K30" s="88" t="s">
        <v>10</v>
      </c>
      <c r="L30" s="88" t="s">
        <v>1</v>
      </c>
      <c r="M30" s="88" t="s">
        <v>183</v>
      </c>
      <c r="N30" s="88"/>
      <c r="O30" s="88" t="s">
        <v>11</v>
      </c>
      <c r="T30" s="38"/>
    </row>
    <row r="31" spans="3:20" ht="15.5">
      <c r="C31" s="87"/>
      <c r="D31" s="87"/>
      <c r="E31" s="87"/>
      <c r="F31" s="88"/>
      <c r="G31" s="88"/>
      <c r="H31" s="88"/>
      <c r="I31" s="88"/>
      <c r="J31" s="88"/>
      <c r="K31" s="88"/>
      <c r="L31" s="88"/>
      <c r="M31" s="88"/>
      <c r="N31" s="88"/>
      <c r="O31" s="88"/>
      <c r="T31" s="38"/>
    </row>
    <row r="32" spans="3:20" ht="15.5">
      <c r="C32" s="40" t="s">
        <v>33</v>
      </c>
      <c r="D32" s="94"/>
      <c r="E32" s="80"/>
      <c r="F32" s="80" t="s">
        <v>67</v>
      </c>
      <c r="G32" s="103">
        <v>5000</v>
      </c>
      <c r="H32" s="94"/>
      <c r="I32" s="95">
        <f>E32*G32</f>
        <v>0</v>
      </c>
      <c r="J32" s="90"/>
      <c r="K32" s="80">
        <v>12</v>
      </c>
      <c r="L32" s="103">
        <v>0</v>
      </c>
      <c r="M32" s="83">
        <v>1</v>
      </c>
      <c r="N32" s="94"/>
      <c r="O32" s="95">
        <f>((I32-L32)/K32)*M32</f>
        <v>0</v>
      </c>
    </row>
    <row r="33" spans="3:15" ht="15.5">
      <c r="C33" s="40" t="s">
        <v>42</v>
      </c>
      <c r="D33" s="94"/>
      <c r="E33" s="80"/>
      <c r="F33" s="80" t="s">
        <v>67</v>
      </c>
      <c r="G33" s="103">
        <v>12000</v>
      </c>
      <c r="H33" s="94"/>
      <c r="I33" s="95">
        <f t="shared" ref="I33:I47" si="2">E33*G33</f>
        <v>0</v>
      </c>
      <c r="J33" s="90"/>
      <c r="K33" s="80">
        <v>12</v>
      </c>
      <c r="L33" s="103">
        <v>0</v>
      </c>
      <c r="M33" s="83">
        <v>1</v>
      </c>
      <c r="N33" s="94"/>
      <c r="O33" s="95">
        <f t="shared" ref="O33:O37" si="3">((I33-L33)/K33)*M33</f>
        <v>0</v>
      </c>
    </row>
    <row r="34" spans="3:15" ht="15.5">
      <c r="C34" s="40" t="s">
        <v>2</v>
      </c>
      <c r="D34" s="94"/>
      <c r="E34" s="80">
        <v>1</v>
      </c>
      <c r="F34" s="80" t="s">
        <v>67</v>
      </c>
      <c r="G34" s="103">
        <v>10000</v>
      </c>
      <c r="H34" s="94"/>
      <c r="I34" s="95">
        <f t="shared" si="2"/>
        <v>10000</v>
      </c>
      <c r="J34" s="90"/>
      <c r="K34" s="80">
        <v>12</v>
      </c>
      <c r="L34" s="103">
        <v>0</v>
      </c>
      <c r="M34" s="83">
        <v>1</v>
      </c>
      <c r="N34" s="94"/>
      <c r="O34" s="95">
        <f t="shared" si="3"/>
        <v>833.33333333333337</v>
      </c>
    </row>
    <row r="35" spans="3:15" ht="15.5">
      <c r="C35" s="40" t="s">
        <v>3</v>
      </c>
      <c r="D35" s="94"/>
      <c r="E35" s="80"/>
      <c r="F35" s="80" t="s">
        <v>67</v>
      </c>
      <c r="G35" s="103">
        <v>12000</v>
      </c>
      <c r="H35" s="94"/>
      <c r="I35" s="95">
        <f t="shared" si="2"/>
        <v>0</v>
      </c>
      <c r="J35" s="90"/>
      <c r="K35" s="80">
        <v>12</v>
      </c>
      <c r="L35" s="103">
        <v>0</v>
      </c>
      <c r="M35" s="83">
        <v>1</v>
      </c>
      <c r="N35" s="94"/>
      <c r="O35" s="95">
        <f t="shared" si="3"/>
        <v>0</v>
      </c>
    </row>
    <row r="36" spans="3:15" ht="15.5">
      <c r="C36" s="40" t="s">
        <v>106</v>
      </c>
      <c r="D36" s="94"/>
      <c r="E36" s="80"/>
      <c r="F36" s="80" t="s">
        <v>67</v>
      </c>
      <c r="G36" s="103">
        <v>2500</v>
      </c>
      <c r="H36" s="94"/>
      <c r="I36" s="95">
        <f t="shared" si="2"/>
        <v>0</v>
      </c>
      <c r="J36" s="90"/>
      <c r="K36" s="80">
        <v>10</v>
      </c>
      <c r="L36" s="103">
        <v>0</v>
      </c>
      <c r="M36" s="83">
        <v>1</v>
      </c>
      <c r="N36" s="94"/>
      <c r="O36" s="95">
        <f t="shared" si="3"/>
        <v>0</v>
      </c>
    </row>
    <row r="37" spans="3:15" ht="15.5">
      <c r="C37" s="40" t="s">
        <v>4</v>
      </c>
      <c r="D37" s="94"/>
      <c r="E37" s="80">
        <v>1</v>
      </c>
      <c r="F37" s="80" t="s">
        <v>67</v>
      </c>
      <c r="G37" s="103">
        <v>100</v>
      </c>
      <c r="H37" s="94"/>
      <c r="I37" s="95">
        <f t="shared" si="2"/>
        <v>100</v>
      </c>
      <c r="J37" s="90"/>
      <c r="K37" s="80">
        <v>12</v>
      </c>
      <c r="L37" s="103">
        <v>0</v>
      </c>
      <c r="M37" s="83">
        <v>1</v>
      </c>
      <c r="N37" s="94"/>
      <c r="O37" s="95">
        <f t="shared" si="3"/>
        <v>8.3333333333333339</v>
      </c>
    </row>
    <row r="38" spans="3:15" ht="15.5">
      <c r="C38" s="40" t="s">
        <v>107</v>
      </c>
      <c r="D38" s="94"/>
      <c r="E38" s="80"/>
      <c r="F38" s="80" t="s">
        <v>67</v>
      </c>
      <c r="G38" s="103">
        <v>0</v>
      </c>
      <c r="H38" s="94"/>
      <c r="I38" s="95">
        <f t="shared" si="2"/>
        <v>0</v>
      </c>
      <c r="J38" s="90"/>
      <c r="K38" s="80"/>
      <c r="L38" s="103">
        <v>0</v>
      </c>
      <c r="M38" s="83">
        <v>1</v>
      </c>
      <c r="N38" s="94"/>
      <c r="O38" s="95">
        <v>0</v>
      </c>
    </row>
    <row r="39" spans="3:15" ht="15.5">
      <c r="C39" s="40" t="s">
        <v>110</v>
      </c>
      <c r="D39" s="94"/>
      <c r="E39" s="80"/>
      <c r="F39" s="80" t="s">
        <v>67</v>
      </c>
      <c r="G39" s="103">
        <v>0</v>
      </c>
      <c r="H39" s="94"/>
      <c r="I39" s="95">
        <f t="shared" si="2"/>
        <v>0</v>
      </c>
      <c r="J39" s="90"/>
      <c r="K39" s="80"/>
      <c r="L39" s="103">
        <v>0</v>
      </c>
      <c r="M39" s="83">
        <v>1</v>
      </c>
      <c r="N39" s="94"/>
      <c r="O39" s="95">
        <v>0</v>
      </c>
    </row>
    <row r="40" spans="3:15" ht="15.5">
      <c r="C40" s="40" t="s">
        <v>124</v>
      </c>
      <c r="D40" s="94"/>
      <c r="E40" s="80"/>
      <c r="F40" s="80" t="s">
        <v>67</v>
      </c>
      <c r="G40" s="103">
        <v>0</v>
      </c>
      <c r="H40" s="94"/>
      <c r="I40" s="95">
        <f t="shared" si="2"/>
        <v>0</v>
      </c>
      <c r="J40" s="90"/>
      <c r="K40" s="80"/>
      <c r="L40" s="103">
        <v>0</v>
      </c>
      <c r="M40" s="83">
        <v>1</v>
      </c>
      <c r="N40" s="94"/>
      <c r="O40" s="95">
        <v>0</v>
      </c>
    </row>
    <row r="41" spans="3:15" ht="15.5">
      <c r="C41" s="40" t="s">
        <v>125</v>
      </c>
      <c r="D41" s="94"/>
      <c r="E41" s="80"/>
      <c r="F41" s="80" t="s">
        <v>67</v>
      </c>
      <c r="G41" s="103">
        <v>0</v>
      </c>
      <c r="H41" s="94"/>
      <c r="I41" s="95">
        <f t="shared" si="2"/>
        <v>0</v>
      </c>
      <c r="J41" s="90"/>
      <c r="K41" s="80"/>
      <c r="L41" s="103">
        <v>0</v>
      </c>
      <c r="M41" s="83">
        <v>1</v>
      </c>
      <c r="N41" s="94"/>
      <c r="O41" s="95">
        <v>0</v>
      </c>
    </row>
    <row r="42" spans="3:15" ht="15.5">
      <c r="C42" s="40" t="s">
        <v>182</v>
      </c>
      <c r="D42" s="94"/>
      <c r="E42" s="80"/>
      <c r="F42" s="80" t="s">
        <v>67</v>
      </c>
      <c r="G42" s="103">
        <v>0</v>
      </c>
      <c r="H42" s="94"/>
      <c r="I42" s="95">
        <f t="shared" si="2"/>
        <v>0</v>
      </c>
      <c r="J42" s="90"/>
      <c r="K42" s="80"/>
      <c r="L42" s="103">
        <v>0</v>
      </c>
      <c r="M42" s="83">
        <v>1</v>
      </c>
      <c r="N42" s="94"/>
      <c r="O42" s="95">
        <v>0</v>
      </c>
    </row>
    <row r="43" spans="3:15" ht="15.5">
      <c r="C43" s="40" t="s">
        <v>181</v>
      </c>
      <c r="D43" s="94"/>
      <c r="E43" s="80"/>
      <c r="F43" s="80" t="s">
        <v>67</v>
      </c>
      <c r="G43" s="103">
        <v>0</v>
      </c>
      <c r="H43" s="94"/>
      <c r="I43" s="95">
        <f t="shared" si="2"/>
        <v>0</v>
      </c>
      <c r="J43" s="90"/>
      <c r="K43" s="80"/>
      <c r="L43" s="103">
        <v>0</v>
      </c>
      <c r="M43" s="83">
        <v>1</v>
      </c>
      <c r="N43" s="94"/>
      <c r="O43" s="95">
        <v>0</v>
      </c>
    </row>
    <row r="44" spans="3:15" ht="15.5">
      <c r="C44" s="40" t="s">
        <v>15</v>
      </c>
      <c r="D44" s="94"/>
      <c r="E44" s="80"/>
      <c r="F44" s="80" t="s">
        <v>67</v>
      </c>
      <c r="G44" s="103">
        <v>0</v>
      </c>
      <c r="H44" s="94"/>
      <c r="I44" s="95">
        <f t="shared" si="2"/>
        <v>0</v>
      </c>
      <c r="J44" s="90"/>
      <c r="K44" s="80"/>
      <c r="L44" s="103">
        <v>0</v>
      </c>
      <c r="M44" s="83">
        <v>1</v>
      </c>
      <c r="N44" s="94"/>
      <c r="O44" s="95">
        <v>0</v>
      </c>
    </row>
    <row r="45" spans="3:15" ht="15.5">
      <c r="C45" s="40" t="s">
        <v>15</v>
      </c>
      <c r="D45" s="94"/>
      <c r="E45" s="80"/>
      <c r="F45" s="80" t="s">
        <v>67</v>
      </c>
      <c r="G45" s="103">
        <v>0</v>
      </c>
      <c r="H45" s="94"/>
      <c r="I45" s="95">
        <f t="shared" si="2"/>
        <v>0</v>
      </c>
      <c r="J45" s="90"/>
      <c r="K45" s="80"/>
      <c r="L45" s="103">
        <v>0</v>
      </c>
      <c r="M45" s="83">
        <v>1</v>
      </c>
      <c r="N45" s="94"/>
      <c r="O45" s="95">
        <v>0</v>
      </c>
    </row>
    <row r="46" spans="3:15" ht="15.5">
      <c r="C46" s="40" t="s">
        <v>15</v>
      </c>
      <c r="D46" s="94"/>
      <c r="E46" s="80"/>
      <c r="F46" s="80" t="s">
        <v>67</v>
      </c>
      <c r="G46" s="103">
        <v>0</v>
      </c>
      <c r="H46" s="94"/>
      <c r="I46" s="95">
        <f t="shared" si="2"/>
        <v>0</v>
      </c>
      <c r="J46" s="90"/>
      <c r="K46" s="80"/>
      <c r="L46" s="103">
        <v>0</v>
      </c>
      <c r="M46" s="83">
        <v>1</v>
      </c>
      <c r="N46" s="94"/>
      <c r="O46" s="95">
        <v>0</v>
      </c>
    </row>
    <row r="47" spans="3:15" ht="15.5">
      <c r="C47" s="78" t="s">
        <v>15</v>
      </c>
      <c r="D47" s="99"/>
      <c r="E47" s="80"/>
      <c r="F47" s="79" t="s">
        <v>67</v>
      </c>
      <c r="G47" s="104">
        <v>0</v>
      </c>
      <c r="H47" s="99"/>
      <c r="I47" s="107">
        <f t="shared" si="2"/>
        <v>0</v>
      </c>
      <c r="J47" s="90"/>
      <c r="K47" s="80"/>
      <c r="L47" s="104">
        <v>0</v>
      </c>
      <c r="M47" s="82">
        <v>1</v>
      </c>
      <c r="N47" s="99"/>
      <c r="O47" s="100">
        <v>0</v>
      </c>
    </row>
    <row r="48" spans="3:15" ht="15.5">
      <c r="C48" s="39"/>
      <c r="D48" s="96"/>
      <c r="E48" s="105"/>
      <c r="F48" s="105"/>
      <c r="G48" s="106"/>
      <c r="H48" s="96"/>
      <c r="I48" s="90"/>
      <c r="J48" s="90"/>
      <c r="K48" s="105"/>
      <c r="L48" s="106"/>
      <c r="M48" s="113"/>
      <c r="N48" s="96"/>
      <c r="O48" s="98"/>
    </row>
    <row r="49" spans="3:15" ht="18.5">
      <c r="C49" s="282" t="s">
        <v>46</v>
      </c>
      <c r="D49" s="282"/>
      <c r="E49" s="282"/>
      <c r="F49" s="282"/>
      <c r="G49" s="282"/>
      <c r="H49" s="42"/>
      <c r="I49" s="102">
        <f>SUM(I32:I47)</f>
        <v>10100</v>
      </c>
      <c r="J49" s="93"/>
      <c r="K49" s="282" t="s">
        <v>178</v>
      </c>
      <c r="L49" s="282"/>
      <c r="M49" s="282"/>
      <c r="N49" s="42"/>
      <c r="O49" s="114">
        <f>SUM(O32:O47)</f>
        <v>841.66666666666674</v>
      </c>
    </row>
    <row r="50" spans="3:15" ht="15.5">
      <c r="C50" s="92"/>
      <c r="D50" s="92"/>
      <c r="E50" s="92"/>
      <c r="F50" s="92"/>
      <c r="G50" s="92"/>
      <c r="H50" s="92"/>
      <c r="I50" s="92"/>
      <c r="J50" s="92"/>
      <c r="K50" s="92"/>
      <c r="L50" s="92"/>
      <c r="M50" s="92"/>
      <c r="N50" s="92"/>
      <c r="O50" s="92"/>
    </row>
    <row r="51" spans="3:15" ht="18.5">
      <c r="C51" s="283" t="s">
        <v>47</v>
      </c>
      <c r="D51" s="283"/>
      <c r="E51" s="283"/>
      <c r="F51" s="283"/>
      <c r="G51" s="283"/>
      <c r="H51" s="115"/>
      <c r="I51" s="116">
        <f>I24+I49</f>
        <v>95500</v>
      </c>
      <c r="J51" s="116"/>
      <c r="K51" s="117"/>
      <c r="L51" s="117"/>
      <c r="M51" s="117"/>
      <c r="N51" s="117"/>
      <c r="O51" s="116">
        <f>O24+O49</f>
        <v>13976.190476190475</v>
      </c>
    </row>
  </sheetData>
  <mergeCells count="6">
    <mergeCell ref="C49:G49"/>
    <mergeCell ref="K49:M49"/>
    <mergeCell ref="C51:G51"/>
    <mergeCell ref="C24:G24"/>
    <mergeCell ref="E8:H8"/>
    <mergeCell ref="K24:M24"/>
  </mergeCells>
  <printOptions headings="1" gridLines="1"/>
  <pageMargins left="0.7" right="0.7" top="0.75" bottom="0.75" header="0.3" footer="0.3"/>
  <pageSetup scale="9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50"/>
    <pageSetUpPr fitToPage="1"/>
  </sheetPr>
  <dimension ref="C2:K62"/>
  <sheetViews>
    <sheetView showGridLines="0" zoomScaleNormal="100" workbookViewId="0">
      <selection activeCell="S1" sqref="S1"/>
    </sheetView>
  </sheetViews>
  <sheetFormatPr defaultColWidth="8.81640625" defaultRowHeight="14.5"/>
  <cols>
    <col min="1" max="1" width="8.453125" customWidth="1"/>
    <col min="2" max="2" width="3" customWidth="1"/>
    <col min="3" max="3" width="27.81640625" customWidth="1"/>
    <col min="4" max="4" width="13.453125" customWidth="1"/>
    <col min="5" max="5" width="13.453125" style="7" customWidth="1"/>
    <col min="6" max="7" width="13.453125" customWidth="1"/>
    <col min="8" max="8" width="13.453125" style="1" customWidth="1"/>
    <col min="9" max="9" width="13.453125" customWidth="1"/>
    <col min="10" max="10" width="13.453125" style="7" customWidth="1"/>
  </cols>
  <sheetData>
    <row r="2" spans="3:11" ht="60" customHeight="1">
      <c r="C2" s="20"/>
    </row>
    <row r="3" spans="3:11" ht="15" customHeight="1">
      <c r="C3" s="20"/>
    </row>
    <row r="4" spans="3:11" ht="15.5">
      <c r="C4" s="119" t="s">
        <v>199</v>
      </c>
      <c r="D4" s="119"/>
      <c r="E4" s="123"/>
    </row>
    <row r="5" spans="3:11" ht="15.5">
      <c r="C5" s="119" t="s">
        <v>12</v>
      </c>
      <c r="D5" s="119"/>
      <c r="E5" s="123"/>
    </row>
    <row r="6" spans="3:11" ht="15.5">
      <c r="C6" s="119"/>
      <c r="D6" s="119"/>
      <c r="E6" s="123"/>
    </row>
    <row r="7" spans="3:11" ht="15.5">
      <c r="C7" s="285" t="s">
        <v>187</v>
      </c>
      <c r="D7" s="285"/>
      <c r="E7" s="141">
        <f>Assumptions!E13</f>
        <v>1</v>
      </c>
    </row>
    <row r="8" spans="3:11">
      <c r="C8" s="238"/>
      <c r="D8" s="238"/>
      <c r="E8" s="238"/>
      <c r="F8" s="238"/>
      <c r="G8" s="238"/>
      <c r="H8" s="238"/>
      <c r="I8" s="238"/>
      <c r="J8" s="238"/>
      <c r="K8" s="238"/>
    </row>
    <row r="9" spans="3:11" ht="23.5">
      <c r="C9" s="279" t="s">
        <v>38</v>
      </c>
      <c r="D9" s="279"/>
      <c r="E9" s="279"/>
      <c r="F9" s="279"/>
      <c r="G9" s="279"/>
      <c r="H9" s="279"/>
      <c r="I9" s="279"/>
      <c r="J9" s="279"/>
      <c r="K9" s="279"/>
    </row>
    <row r="10" spans="3:11" ht="20" customHeight="1">
      <c r="C10" s="150" t="s">
        <v>0</v>
      </c>
      <c r="D10" s="151" t="s">
        <v>8</v>
      </c>
      <c r="E10" s="151" t="s">
        <v>36</v>
      </c>
      <c r="F10" s="151" t="s">
        <v>69</v>
      </c>
      <c r="G10" s="152" t="s">
        <v>14</v>
      </c>
    </row>
    <row r="11" spans="3:11" ht="20" customHeight="1">
      <c r="C11" s="153" t="s">
        <v>138</v>
      </c>
      <c r="D11" s="154">
        <f>Assumptions!E8</f>
        <v>180000</v>
      </c>
      <c r="E11" s="194" t="s">
        <v>139</v>
      </c>
      <c r="F11" s="156">
        <f>Assumptions!E28</f>
        <v>0.89</v>
      </c>
      <c r="G11" s="125">
        <f>F11*D11</f>
        <v>160200</v>
      </c>
    </row>
    <row r="12" spans="3:11" ht="20" customHeight="1">
      <c r="C12" s="119" t="s">
        <v>15</v>
      </c>
      <c r="D12" s="143"/>
      <c r="E12" s="144"/>
      <c r="F12" s="145"/>
      <c r="G12" s="146"/>
    </row>
    <row r="13" spans="3:11" ht="20" customHeight="1">
      <c r="C13" s="153" t="s">
        <v>15</v>
      </c>
      <c r="D13" s="154"/>
      <c r="E13" s="155"/>
      <c r="F13" s="156"/>
      <c r="G13" s="125"/>
    </row>
    <row r="14" spans="3:11" ht="20" customHeight="1">
      <c r="C14" s="20" t="s">
        <v>39</v>
      </c>
      <c r="D14" s="157"/>
      <c r="E14" s="158"/>
      <c r="F14" s="20"/>
      <c r="G14" s="159">
        <f>SUM(G11:G13)</f>
        <v>160200</v>
      </c>
    </row>
    <row r="15" spans="3:11" ht="20" customHeight="1"/>
    <row r="16" spans="3:11" ht="20" customHeight="1">
      <c r="C16" s="110" t="s">
        <v>144</v>
      </c>
      <c r="D16" s="42"/>
      <c r="E16" s="123"/>
      <c r="F16" s="119"/>
      <c r="G16" s="119"/>
      <c r="H16" s="146"/>
      <c r="I16" s="119"/>
      <c r="J16" s="123"/>
    </row>
    <row r="17" spans="3:10" s="21" customFormat="1" ht="31">
      <c r="C17" s="195" t="s">
        <v>0</v>
      </c>
      <c r="D17" s="163" t="s">
        <v>8</v>
      </c>
      <c r="E17" s="163" t="s">
        <v>36</v>
      </c>
      <c r="F17" s="163" t="s">
        <v>69</v>
      </c>
      <c r="G17" s="164" t="s">
        <v>14</v>
      </c>
      <c r="H17" s="163" t="s">
        <v>70</v>
      </c>
      <c r="I17" s="163" t="s">
        <v>71</v>
      </c>
    </row>
    <row r="18" spans="3:10" ht="20" customHeight="1">
      <c r="C18" s="177" t="s">
        <v>87</v>
      </c>
      <c r="D18" s="185"/>
      <c r="E18" s="179"/>
      <c r="F18" s="180"/>
      <c r="G18" s="181"/>
      <c r="H18" s="182"/>
      <c r="I18" s="183">
        <f>I19+I20</f>
        <v>2.4361668580951224E-2</v>
      </c>
      <c r="J18"/>
    </row>
    <row r="19" spans="3:10" ht="20" customHeight="1">
      <c r="C19" s="196" t="s">
        <v>104</v>
      </c>
      <c r="D19" s="169">
        <f>(Assumptions!K36/1000)*Assumptions!E19</f>
        <v>42.352941176470594</v>
      </c>
      <c r="E19" s="170" t="s">
        <v>75</v>
      </c>
      <c r="F19" s="171">
        <f>Assumptions!E15</f>
        <v>9.5</v>
      </c>
      <c r="G19" s="172">
        <f>D19*F19</f>
        <v>402.35294117647067</v>
      </c>
      <c r="H19" s="173">
        <f>G19/Assumptions!$K$33</f>
        <v>2.2352941176470593E-3</v>
      </c>
      <c r="I19" s="174">
        <f>G19/$G$48</f>
        <v>3.8896781767905316E-3</v>
      </c>
      <c r="J19"/>
    </row>
    <row r="20" spans="3:10" ht="20" customHeight="1">
      <c r="C20" s="196" t="s">
        <v>105</v>
      </c>
      <c r="D20" s="169">
        <f>(Assumptions!K36/1000)*(1-Assumptions!E19)</f>
        <v>169.41176470588238</v>
      </c>
      <c r="E20" s="170" t="s">
        <v>75</v>
      </c>
      <c r="F20" s="171">
        <f>Assumptions!E16</f>
        <v>12.5</v>
      </c>
      <c r="G20" s="172">
        <f>D20*F20</f>
        <v>2117.6470588235297</v>
      </c>
      <c r="H20" s="173">
        <f>G20/Assumptions!$K$33</f>
        <v>1.1764705882352943E-2</v>
      </c>
      <c r="I20" s="174">
        <f>G20/$G$48</f>
        <v>2.0471990404160693E-2</v>
      </c>
      <c r="J20"/>
    </row>
    <row r="21" spans="3:10" ht="20" customHeight="1">
      <c r="C21" s="177" t="s">
        <v>7</v>
      </c>
      <c r="D21" s="169"/>
      <c r="E21" s="170"/>
      <c r="F21" s="171"/>
      <c r="G21" s="172"/>
      <c r="H21" s="173"/>
      <c r="I21" s="174">
        <f>I22+I23</f>
        <v>0.52280914161025471</v>
      </c>
      <c r="J21"/>
    </row>
    <row r="22" spans="3:10" ht="20" customHeight="1">
      <c r="C22" s="196" t="s">
        <v>79</v>
      </c>
      <c r="D22" s="169">
        <f>Assumptions!K10*Assumptions!K11*Assumptions!K12</f>
        <v>2080</v>
      </c>
      <c r="E22" s="170" t="s">
        <v>55</v>
      </c>
      <c r="F22" s="171">
        <f>Assumptions!K9</f>
        <v>9</v>
      </c>
      <c r="G22" s="172">
        <f t="shared" ref="G22:G26" si="0">D22*F22</f>
        <v>18720</v>
      </c>
      <c r="H22" s="173">
        <f>G22/Assumptions!$K$33</f>
        <v>0.104</v>
      </c>
      <c r="I22" s="174">
        <f t="shared" ref="I22:I33" si="1">G22/$G$48</f>
        <v>0.18097239517278049</v>
      </c>
      <c r="J22"/>
    </row>
    <row r="23" spans="3:10" ht="20" customHeight="1">
      <c r="C23" s="196" t="s">
        <v>80</v>
      </c>
      <c r="D23" s="175">
        <f>Assumptions!K14*Assumptions!K15*Assumptions!K16</f>
        <v>2080</v>
      </c>
      <c r="E23" s="170" t="s">
        <v>55</v>
      </c>
      <c r="F23" s="176">
        <f>Assumptions!K13</f>
        <v>17</v>
      </c>
      <c r="G23" s="172">
        <f>F23*D23</f>
        <v>35360</v>
      </c>
      <c r="H23" s="173">
        <f>G23/Assumptions!$K$33</f>
        <v>0.19644444444444445</v>
      </c>
      <c r="I23" s="174">
        <f t="shared" si="1"/>
        <v>0.34183674643747425</v>
      </c>
      <c r="J23"/>
    </row>
    <row r="24" spans="3:10" ht="20" customHeight="1">
      <c r="C24" s="177" t="s">
        <v>6</v>
      </c>
      <c r="D24" s="178"/>
      <c r="E24" s="179" t="s">
        <v>56</v>
      </c>
      <c r="F24" s="180"/>
      <c r="G24" s="181">
        <f>Assumptions!E20</f>
        <v>4000</v>
      </c>
      <c r="H24" s="182">
        <f>G24/Assumptions!$K$33</f>
        <v>2.2222222222222223E-2</v>
      </c>
      <c r="I24" s="183">
        <f t="shared" si="1"/>
        <v>3.866931520785908E-2</v>
      </c>
      <c r="J24"/>
    </row>
    <row r="25" spans="3:10" ht="20" customHeight="1">
      <c r="C25" s="177" t="s">
        <v>16</v>
      </c>
      <c r="D25" s="178"/>
      <c r="E25" s="179" t="s">
        <v>56</v>
      </c>
      <c r="F25" s="177"/>
      <c r="G25" s="184">
        <f>Assumptions!K17</f>
        <v>500</v>
      </c>
      <c r="H25" s="182">
        <f>G25/Assumptions!$K$33</f>
        <v>2.7777777777777779E-3</v>
      </c>
      <c r="I25" s="183">
        <f t="shared" si="1"/>
        <v>4.833664400982385E-3</v>
      </c>
      <c r="J25"/>
    </row>
    <row r="26" spans="3:10" ht="20" customHeight="1">
      <c r="C26" s="177" t="s">
        <v>17</v>
      </c>
      <c r="D26" s="178">
        <f>ROUNDUP((D11/Assumptions!E29),0)</f>
        <v>1800</v>
      </c>
      <c r="E26" s="179" t="s">
        <v>76</v>
      </c>
      <c r="F26" s="180">
        <f>Assumptions!E30</f>
        <v>1</v>
      </c>
      <c r="G26" s="181">
        <f t="shared" si="0"/>
        <v>1800</v>
      </c>
      <c r="H26" s="182">
        <f>G26/Assumptions!$K$33</f>
        <v>0.01</v>
      </c>
      <c r="I26" s="183">
        <f t="shared" si="1"/>
        <v>1.7401191843536584E-2</v>
      </c>
      <c r="J26"/>
    </row>
    <row r="27" spans="3:10" ht="20" customHeight="1">
      <c r="C27" s="165" t="s">
        <v>18</v>
      </c>
      <c r="D27" s="191"/>
      <c r="E27" s="165"/>
      <c r="F27" s="166"/>
      <c r="G27" s="192">
        <f>Assumptions!E31</f>
        <v>1000</v>
      </c>
      <c r="H27" s="167">
        <f>G27/Assumptions!$K$33</f>
        <v>5.5555555555555558E-3</v>
      </c>
      <c r="I27" s="168">
        <f t="shared" si="1"/>
        <v>9.66732880196477E-3</v>
      </c>
      <c r="J27"/>
    </row>
    <row r="28" spans="3:10" ht="31">
      <c r="C28" s="177" t="s">
        <v>19</v>
      </c>
      <c r="D28" s="178">
        <f>Assumptions!K23</f>
        <v>0.05</v>
      </c>
      <c r="E28" s="179" t="s">
        <v>129</v>
      </c>
      <c r="F28" s="180"/>
      <c r="G28" s="181">
        <f>D28*SUM(G19:G27)</f>
        <v>3195</v>
      </c>
      <c r="H28" s="182">
        <f>G28/Assumptions!$K$33</f>
        <v>1.7749999999999998E-2</v>
      </c>
      <c r="I28" s="183">
        <f t="shared" si="1"/>
        <v>3.088711552227744E-2</v>
      </c>
      <c r="J28"/>
    </row>
    <row r="29" spans="3:10" ht="20" customHeight="1">
      <c r="C29" s="177" t="s">
        <v>130</v>
      </c>
      <c r="D29" s="178"/>
      <c r="E29" s="179"/>
      <c r="F29" s="180"/>
      <c r="G29" s="181"/>
      <c r="H29" s="182">
        <f>G29/Assumptions!$K$33</f>
        <v>0</v>
      </c>
      <c r="I29" s="183">
        <f t="shared" si="1"/>
        <v>0</v>
      </c>
      <c r="J29"/>
    </row>
    <row r="30" spans="3:10" ht="20" customHeight="1">
      <c r="C30" s="177" t="s">
        <v>130</v>
      </c>
      <c r="D30" s="178"/>
      <c r="E30" s="179"/>
      <c r="F30" s="180"/>
      <c r="G30" s="181"/>
      <c r="H30" s="182">
        <f>G30/Assumptions!$K$33</f>
        <v>0</v>
      </c>
      <c r="I30" s="183">
        <f t="shared" si="1"/>
        <v>0</v>
      </c>
      <c r="J30"/>
    </row>
    <row r="31" spans="3:10" ht="20" customHeight="1">
      <c r="C31" s="177" t="s">
        <v>130</v>
      </c>
      <c r="D31" s="178"/>
      <c r="E31" s="179"/>
      <c r="F31" s="180"/>
      <c r="G31" s="181"/>
      <c r="H31" s="182">
        <f>G31/Assumptions!$K$33</f>
        <v>0</v>
      </c>
      <c r="I31" s="183">
        <f t="shared" si="1"/>
        <v>0</v>
      </c>
      <c r="J31"/>
    </row>
    <row r="32" spans="3:10" ht="20" customHeight="1">
      <c r="C32" s="177" t="s">
        <v>130</v>
      </c>
      <c r="D32" s="178"/>
      <c r="E32" s="179"/>
      <c r="F32" s="180"/>
      <c r="G32" s="181"/>
      <c r="H32" s="182">
        <f>G32/Assumptions!$K$33</f>
        <v>0</v>
      </c>
      <c r="I32" s="183">
        <f t="shared" si="1"/>
        <v>0</v>
      </c>
      <c r="J32"/>
    </row>
    <row r="33" spans="3:10" ht="18.5">
      <c r="C33" s="186" t="s">
        <v>40</v>
      </c>
      <c r="D33" s="187"/>
      <c r="E33" s="186"/>
      <c r="F33" s="186"/>
      <c r="G33" s="188">
        <f>SUM(G18:G32)</f>
        <v>67095</v>
      </c>
      <c r="H33" s="189">
        <f>G33/Assumptions!$K$33</f>
        <v>0.37275000000000003</v>
      </c>
      <c r="I33" s="190">
        <f t="shared" si="1"/>
        <v>0.64862942596782625</v>
      </c>
      <c r="J33"/>
    </row>
    <row r="34" spans="3:10" ht="20" customHeight="1">
      <c r="C34" s="87"/>
      <c r="D34" s="87"/>
      <c r="E34" s="88"/>
      <c r="F34" s="87"/>
      <c r="G34" s="87"/>
      <c r="H34" s="160"/>
      <c r="I34" s="161"/>
      <c r="J34" s="162"/>
    </row>
    <row r="35" spans="3:10" ht="23.5">
      <c r="C35" s="110" t="s">
        <v>24</v>
      </c>
      <c r="D35" s="119"/>
      <c r="E35" s="123"/>
      <c r="F35" s="119"/>
      <c r="G35" s="119"/>
      <c r="H35" s="146"/>
      <c r="I35" s="145"/>
      <c r="J35" s="193"/>
    </row>
    <row r="36" spans="3:10" s="4" customFormat="1" ht="31">
      <c r="C36" s="195" t="s">
        <v>0</v>
      </c>
      <c r="D36" s="163" t="s">
        <v>8</v>
      </c>
      <c r="E36" s="163" t="s">
        <v>36</v>
      </c>
      <c r="F36" s="163" t="s">
        <v>69</v>
      </c>
      <c r="G36" s="164" t="s">
        <v>14</v>
      </c>
      <c r="H36" s="163" t="s">
        <v>70</v>
      </c>
      <c r="I36" s="163" t="s">
        <v>71</v>
      </c>
    </row>
    <row r="37" spans="3:10" s="4" customFormat="1" ht="20" customHeight="1">
      <c r="C37" s="177" t="s">
        <v>150</v>
      </c>
      <c r="D37" s="178">
        <v>12</v>
      </c>
      <c r="E37" s="179" t="s">
        <v>118</v>
      </c>
      <c r="F37" s="180">
        <f>'Land Expense'!E12</f>
        <v>0</v>
      </c>
      <c r="G37" s="181">
        <f>F37*D37</f>
        <v>0</v>
      </c>
      <c r="H37" s="182">
        <f>G37/Assumptions!$K$33</f>
        <v>0</v>
      </c>
      <c r="I37" s="183">
        <f t="shared" ref="I37:I45" si="2">G37/$G$48</f>
        <v>0</v>
      </c>
    </row>
    <row r="38" spans="3:10" s="4" customFormat="1" ht="20" customHeight="1">
      <c r="C38" s="177" t="s">
        <v>117</v>
      </c>
      <c r="D38" s="178">
        <v>12</v>
      </c>
      <c r="E38" s="179" t="s">
        <v>118</v>
      </c>
      <c r="F38" s="180">
        <f>'Land Expense'!E14</f>
        <v>1200</v>
      </c>
      <c r="G38" s="181">
        <f>F38*D38</f>
        <v>14400</v>
      </c>
      <c r="H38" s="182">
        <f>G38/Assumptions!$K$33</f>
        <v>0.08</v>
      </c>
      <c r="I38" s="183">
        <f t="shared" si="2"/>
        <v>0.13920953474829267</v>
      </c>
    </row>
    <row r="39" spans="3:10" ht="20" customHeight="1">
      <c r="C39" s="177" t="s">
        <v>20</v>
      </c>
      <c r="D39" s="178"/>
      <c r="E39" s="179" t="s">
        <v>26</v>
      </c>
      <c r="F39" s="180"/>
      <c r="G39" s="181">
        <f>Assumptions!K18+Assumptions!K19</f>
        <v>500</v>
      </c>
      <c r="H39" s="182">
        <f>G39/Assumptions!$K$33</f>
        <v>2.7777777777777779E-3</v>
      </c>
      <c r="I39" s="183">
        <f t="shared" si="2"/>
        <v>4.833664400982385E-3</v>
      </c>
      <c r="J39" s="3"/>
    </row>
    <row r="40" spans="3:10" ht="20" customHeight="1">
      <c r="C40" s="119" t="s">
        <v>21</v>
      </c>
      <c r="D40" s="123">
        <f>Assumptions!E11</f>
        <v>15</v>
      </c>
      <c r="E40" s="144" t="s">
        <v>54</v>
      </c>
      <c r="F40" s="145">
        <f>Assumptions!K8</f>
        <v>10</v>
      </c>
      <c r="G40" s="146">
        <f>D40*F40</f>
        <v>150</v>
      </c>
      <c r="H40" s="197">
        <f>G40/Assumptions!$K$33</f>
        <v>8.3333333333333339E-4</v>
      </c>
      <c r="I40" s="193">
        <f t="shared" si="2"/>
        <v>1.4500993202947155E-3</v>
      </c>
      <c r="J40"/>
    </row>
    <row r="41" spans="3:10" ht="20" customHeight="1">
      <c r="C41" s="177" t="s">
        <v>22</v>
      </c>
      <c r="D41" s="178"/>
      <c r="E41" s="179"/>
      <c r="F41" s="180"/>
      <c r="G41" s="181">
        <f>Assumptions!K20</f>
        <v>500</v>
      </c>
      <c r="H41" s="182">
        <f>G41/Assumptions!$K$33</f>
        <v>2.7777777777777779E-3</v>
      </c>
      <c r="I41" s="183">
        <f t="shared" si="2"/>
        <v>4.833664400982385E-3</v>
      </c>
      <c r="J41"/>
    </row>
    <row r="42" spans="3:10" ht="20" customHeight="1">
      <c r="C42" s="177" t="s">
        <v>81</v>
      </c>
      <c r="D42" s="178"/>
      <c r="E42" s="179"/>
      <c r="F42" s="180"/>
      <c r="G42" s="181">
        <f>0.04*'Bottom Prep and Capital Cost'!I51</f>
        <v>3820</v>
      </c>
      <c r="H42" s="182">
        <f>G42/Assumptions!$K$33</f>
        <v>2.1222222222222222E-2</v>
      </c>
      <c r="I42" s="183">
        <f t="shared" si="2"/>
        <v>3.6929196023505417E-2</v>
      </c>
      <c r="J42"/>
    </row>
    <row r="43" spans="3:10" ht="20" customHeight="1">
      <c r="C43" s="177" t="s">
        <v>23</v>
      </c>
      <c r="D43" s="178"/>
      <c r="E43" s="179"/>
      <c r="F43" s="180"/>
      <c r="G43" s="181">
        <f>'Bottom Prep and Capital Cost'!O51</f>
        <v>13976.190476190475</v>
      </c>
      <c r="H43" s="182">
        <f>G43/Assumptions!$K$33</f>
        <v>7.7645502645502643E-2</v>
      </c>
      <c r="I43" s="183">
        <f t="shared" si="2"/>
        <v>0.1351124287322219</v>
      </c>
      <c r="J43"/>
    </row>
    <row r="44" spans="3:10" ht="31">
      <c r="C44" s="177" t="s">
        <v>72</v>
      </c>
      <c r="D44" s="178">
        <f>Assumptions!K22</f>
        <v>0.06</v>
      </c>
      <c r="E44" s="179" t="s">
        <v>109</v>
      </c>
      <c r="F44" s="180"/>
      <c r="G44" s="181">
        <f>Assumptions!K22*Assumptions!K21</f>
        <v>3000</v>
      </c>
      <c r="H44" s="182">
        <f>G44/Assumptions!$K$33</f>
        <v>1.6666666666666666E-2</v>
      </c>
      <c r="I44" s="183">
        <f t="shared" si="2"/>
        <v>2.9001986405894308E-2</v>
      </c>
      <c r="J44"/>
    </row>
    <row r="45" spans="3:10" ht="18.5">
      <c r="C45" s="186" t="s">
        <v>145</v>
      </c>
      <c r="D45" s="187"/>
      <c r="E45" s="186"/>
      <c r="F45" s="186"/>
      <c r="G45" s="188">
        <f>SUM(G37:G44)</f>
        <v>36346.190476190473</v>
      </c>
      <c r="H45" s="189">
        <f>G45/Assumptions!$K$33</f>
        <v>0.20192328042328042</v>
      </c>
      <c r="I45" s="190">
        <f t="shared" si="2"/>
        <v>0.35137057403217375</v>
      </c>
      <c r="J45" s="26"/>
    </row>
    <row r="46" spans="3:10" ht="15.5">
      <c r="C46" s="42"/>
      <c r="D46" s="142"/>
      <c r="E46" s="42"/>
      <c r="F46" s="42"/>
      <c r="G46" s="147"/>
      <c r="H46" s="198"/>
      <c r="I46" s="199"/>
      <c r="J46" s="26"/>
    </row>
    <row r="47" spans="3:10" ht="23.5">
      <c r="C47" s="110" t="s">
        <v>25</v>
      </c>
      <c r="D47" s="142"/>
      <c r="E47" s="42"/>
      <c r="F47" s="42"/>
      <c r="G47" s="147"/>
      <c r="H47" s="198"/>
      <c r="I47" s="199"/>
      <c r="J47" s="26"/>
    </row>
    <row r="48" spans="3:10" ht="20" customHeight="1">
      <c r="C48" s="207" t="s">
        <v>25</v>
      </c>
      <c r="D48" s="208"/>
      <c r="E48" s="207"/>
      <c r="F48" s="207"/>
      <c r="G48" s="209">
        <f>G45+G33</f>
        <v>103441.19047619047</v>
      </c>
      <c r="H48" s="210">
        <f>G48/Assumptions!$K$33</f>
        <v>0.57467328042328036</v>
      </c>
      <c r="I48" s="211">
        <f>G48/$G$48</f>
        <v>1</v>
      </c>
      <c r="J48"/>
    </row>
    <row r="49" spans="3:10" ht="15.5">
      <c r="C49" s="119"/>
      <c r="D49" s="119"/>
      <c r="E49" s="123"/>
      <c r="F49" s="119"/>
      <c r="G49" s="119"/>
      <c r="H49" s="120"/>
      <c r="I49" s="145"/>
      <c r="J49" s="123"/>
    </row>
    <row r="50" spans="3:10" ht="26" customHeight="1">
      <c r="C50" s="110" t="s">
        <v>13</v>
      </c>
      <c r="D50" s="119"/>
      <c r="E50" s="123"/>
      <c r="F50" s="119"/>
      <c r="G50" s="119"/>
      <c r="H50" s="120"/>
      <c r="I50" s="145"/>
      <c r="J50" s="123"/>
    </row>
    <row r="51" spans="3:10" ht="18.5">
      <c r="C51" s="200" t="s">
        <v>73</v>
      </c>
      <c r="D51" s="200"/>
      <c r="E51" s="201"/>
      <c r="F51" s="200"/>
      <c r="G51" s="202">
        <f>G14-G48</f>
        <v>56758.809523809527</v>
      </c>
      <c r="H51" s="148"/>
      <c r="I51" s="123"/>
      <c r="J51"/>
    </row>
    <row r="52" spans="3:10" ht="20" customHeight="1">
      <c r="C52" s="286" t="s">
        <v>159</v>
      </c>
      <c r="D52" s="286"/>
      <c r="E52" s="286"/>
      <c r="F52" s="180"/>
      <c r="G52" s="181">
        <f>G51*0.25</f>
        <v>14189.702380952382</v>
      </c>
      <c r="H52" s="119"/>
      <c r="I52" s="123"/>
      <c r="J52"/>
    </row>
    <row r="53" spans="3:10" ht="20" customHeight="1">
      <c r="C53" s="286" t="s">
        <v>164</v>
      </c>
      <c r="D53" s="286"/>
      <c r="E53" s="286"/>
      <c r="F53" s="180"/>
      <c r="G53" s="181">
        <f>G51-G52</f>
        <v>42569.107142857145</v>
      </c>
      <c r="H53" s="119"/>
      <c r="I53" s="123"/>
      <c r="J53"/>
    </row>
    <row r="54" spans="3:10" ht="36" customHeight="1">
      <c r="C54" s="286" t="s">
        <v>153</v>
      </c>
      <c r="D54" s="286"/>
      <c r="E54" s="179"/>
      <c r="F54" s="180"/>
      <c r="G54" s="181">
        <f>'Land Expense'!E10*12</f>
        <v>0</v>
      </c>
      <c r="H54" s="148"/>
      <c r="I54" s="123"/>
      <c r="J54"/>
    </row>
    <row r="55" spans="3:10" ht="36" customHeight="1">
      <c r="C55" s="286" t="s">
        <v>154</v>
      </c>
      <c r="D55" s="286"/>
      <c r="E55" s="177"/>
      <c r="F55" s="180"/>
      <c r="G55" s="181">
        <f>Assumptions!K25</f>
        <v>6000</v>
      </c>
      <c r="H55" s="119"/>
      <c r="I55" s="123"/>
      <c r="J55"/>
    </row>
    <row r="56" spans="3:10" ht="20" customHeight="1">
      <c r="C56" s="286" t="s">
        <v>151</v>
      </c>
      <c r="D56" s="286"/>
      <c r="E56" s="179"/>
      <c r="F56" s="180"/>
      <c r="G56" s="181">
        <f>G43</f>
        <v>13976.190476190475</v>
      </c>
      <c r="H56" s="119"/>
      <c r="I56" s="123"/>
      <c r="J56"/>
    </row>
    <row r="57" spans="3:10" ht="18.5">
      <c r="C57" s="20" t="s">
        <v>152</v>
      </c>
      <c r="D57" s="137"/>
      <c r="E57" s="138"/>
      <c r="F57" s="137"/>
      <c r="G57" s="149">
        <f>G51-G54-G55-G52+G56</f>
        <v>50545.297619047618</v>
      </c>
      <c r="H57" s="119"/>
      <c r="I57" s="123"/>
      <c r="J57"/>
    </row>
    <row r="58" spans="3:10">
      <c r="C58" s="4"/>
    </row>
    <row r="59" spans="3:10">
      <c r="C59" s="4"/>
    </row>
    <row r="60" spans="3:10" s="4" customFormat="1" ht="23.5">
      <c r="C60" s="110" t="s">
        <v>156</v>
      </c>
      <c r="G60" s="22"/>
      <c r="I60" s="10"/>
    </row>
    <row r="61" spans="3:10" ht="31">
      <c r="C61" s="203"/>
      <c r="D61" s="163" t="s">
        <v>74</v>
      </c>
      <c r="E61" s="163" t="s">
        <v>73</v>
      </c>
      <c r="G61" s="2"/>
      <c r="H61"/>
      <c r="I61" s="7"/>
      <c r="J61"/>
    </row>
    <row r="62" spans="3:10" ht="18.5">
      <c r="C62" s="206" t="s">
        <v>70</v>
      </c>
      <c r="D62" s="204">
        <f>H48</f>
        <v>0.57467328042328036</v>
      </c>
      <c r="E62" s="205">
        <f>G51/Assumptions!K33</f>
        <v>0.31532671957671959</v>
      </c>
      <c r="G62" s="2"/>
      <c r="H62"/>
      <c r="I62" s="7"/>
      <c r="J62"/>
    </row>
  </sheetData>
  <mergeCells count="8">
    <mergeCell ref="C7:D7"/>
    <mergeCell ref="C8:K8"/>
    <mergeCell ref="C9:K9"/>
    <mergeCell ref="C56:D56"/>
    <mergeCell ref="C52:E52"/>
    <mergeCell ref="C53:E53"/>
    <mergeCell ref="C54:D54"/>
    <mergeCell ref="C55:D55"/>
  </mergeCells>
  <printOptions headings="1" gridLines="1"/>
  <pageMargins left="0.7" right="0.7" top="0.75" bottom="0.75" header="0.3" footer="0.3"/>
  <pageSetup scale="80" orientation="portrait" r:id="rId1"/>
  <ignoredErrors>
    <ignoredError sqref="I21"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7030A0"/>
    <pageSetUpPr fitToPage="1"/>
  </sheetPr>
  <dimension ref="B2:G29"/>
  <sheetViews>
    <sheetView showGridLines="0" workbookViewId="0">
      <selection activeCell="W1" sqref="W1"/>
    </sheetView>
  </sheetViews>
  <sheetFormatPr defaultColWidth="8.81640625" defaultRowHeight="14.5"/>
  <cols>
    <col min="1" max="1" width="8.453125" customWidth="1"/>
    <col min="2" max="2" width="6.81640625" customWidth="1"/>
    <col min="3" max="6" width="16.453125" customWidth="1"/>
    <col min="7" max="7" width="16.453125" hidden="1" customWidth="1"/>
  </cols>
  <sheetData>
    <row r="2" spans="2:7" ht="60" customHeight="1">
      <c r="B2" s="20"/>
    </row>
    <row r="4" spans="2:7" ht="20" customHeight="1">
      <c r="B4" s="289" t="s">
        <v>116</v>
      </c>
      <c r="C4" s="289"/>
      <c r="D4" s="124">
        <f>'Land Expense'!E8</f>
        <v>0</v>
      </c>
      <c r="E4" s="119"/>
      <c r="G4" s="119"/>
    </row>
    <row r="5" spans="2:7" ht="20" customHeight="1">
      <c r="B5" s="290" t="s">
        <v>85</v>
      </c>
      <c r="C5" s="290"/>
      <c r="D5" s="125">
        <f>'Bottom Prep and Capital Cost'!I51</f>
        <v>95500</v>
      </c>
      <c r="E5" s="119"/>
      <c r="G5" s="119"/>
    </row>
    <row r="6" spans="2:7" ht="20" customHeight="1">
      <c r="B6" s="288" t="s">
        <v>184</v>
      </c>
      <c r="C6" s="288"/>
      <c r="D6" s="126">
        <f>Assumptions!E13</f>
        <v>1</v>
      </c>
      <c r="E6" s="119"/>
      <c r="F6" s="119"/>
      <c r="G6" s="119"/>
    </row>
    <row r="7" spans="2:7" ht="15.5">
      <c r="B7" s="119"/>
      <c r="C7" s="119"/>
      <c r="D7" s="119"/>
      <c r="E7" s="119"/>
      <c r="F7" s="119"/>
      <c r="G7" s="119"/>
    </row>
    <row r="8" spans="2:7" ht="51" customHeight="1">
      <c r="B8" s="122" t="s">
        <v>26</v>
      </c>
      <c r="C8" s="122" t="s">
        <v>13</v>
      </c>
      <c r="D8" s="122" t="s">
        <v>27</v>
      </c>
      <c r="E8" s="133" t="s">
        <v>162</v>
      </c>
      <c r="F8" s="133" t="s">
        <v>163</v>
      </c>
      <c r="G8" s="133" t="s">
        <v>185</v>
      </c>
    </row>
    <row r="9" spans="2:7" ht="15.5">
      <c r="B9" s="134">
        <v>0</v>
      </c>
      <c r="C9" s="128">
        <f>IF(G9=TRUE,'Yearly Enterprise Budget'!$G$14,0)</f>
        <v>0</v>
      </c>
      <c r="D9" s="129">
        <f>D5+D4</f>
        <v>95500</v>
      </c>
      <c r="E9" s="129">
        <f t="shared" ref="E9:E19" si="0">C9-D9</f>
        <v>-95500</v>
      </c>
      <c r="F9" s="129">
        <f>-D9</f>
        <v>-95500</v>
      </c>
      <c r="G9" s="127" t="b">
        <f t="shared" ref="G9:G19" si="1">OR(B9=$D$6,B9&gt;$D$6)</f>
        <v>0</v>
      </c>
    </row>
    <row r="10" spans="2:7" ht="15.5">
      <c r="B10" s="134">
        <v>1</v>
      </c>
      <c r="C10" s="128">
        <f>IF(G10=TRUE,'Yearly Enterprise Budget'!$G$14,0)</f>
        <v>160200</v>
      </c>
      <c r="D10" s="129">
        <f>'Yearly Enterprise Budget'!$G$48</f>
        <v>103441.19047619047</v>
      </c>
      <c r="E10" s="129">
        <f t="shared" si="0"/>
        <v>56758.809523809527</v>
      </c>
      <c r="F10" s="129">
        <f t="shared" ref="F10:F19" si="2">F9+C10-D10</f>
        <v>-38741.190476190473</v>
      </c>
      <c r="G10" s="127" t="b">
        <f t="shared" si="1"/>
        <v>1</v>
      </c>
    </row>
    <row r="11" spans="2:7" ht="15.5">
      <c r="B11" s="134">
        <v>2</v>
      </c>
      <c r="C11" s="128">
        <f>IF(G11=TRUE,'Yearly Enterprise Budget'!$G$14,0)</f>
        <v>160200</v>
      </c>
      <c r="D11" s="129">
        <f>'Yearly Enterprise Budget'!$G$48</f>
        <v>103441.19047619047</v>
      </c>
      <c r="E11" s="129">
        <f t="shared" si="0"/>
        <v>56758.809523809527</v>
      </c>
      <c r="F11" s="129">
        <f t="shared" si="2"/>
        <v>18017.619047619053</v>
      </c>
      <c r="G11" s="127" t="b">
        <f t="shared" si="1"/>
        <v>1</v>
      </c>
    </row>
    <row r="12" spans="2:7" ht="15.5">
      <c r="B12" s="134">
        <v>3</v>
      </c>
      <c r="C12" s="128">
        <f>IF(G12=TRUE,'Yearly Enterprise Budget'!$G$14,0)</f>
        <v>160200</v>
      </c>
      <c r="D12" s="129">
        <f>'Yearly Enterprise Budget'!$G$48</f>
        <v>103441.19047619047</v>
      </c>
      <c r="E12" s="129">
        <f t="shared" si="0"/>
        <v>56758.809523809527</v>
      </c>
      <c r="F12" s="129">
        <f t="shared" si="2"/>
        <v>74776.42857142858</v>
      </c>
      <c r="G12" s="127" t="b">
        <f t="shared" si="1"/>
        <v>1</v>
      </c>
    </row>
    <row r="13" spans="2:7" ht="15.5">
      <c r="B13" s="134">
        <v>4</v>
      </c>
      <c r="C13" s="128">
        <f>IF(G13=TRUE,'Yearly Enterprise Budget'!$G$14,0)</f>
        <v>160200</v>
      </c>
      <c r="D13" s="129">
        <f>'Yearly Enterprise Budget'!$G$48</f>
        <v>103441.19047619047</v>
      </c>
      <c r="E13" s="129">
        <f t="shared" si="0"/>
        <v>56758.809523809527</v>
      </c>
      <c r="F13" s="129">
        <f t="shared" si="2"/>
        <v>131535.23809523811</v>
      </c>
      <c r="G13" s="127" t="b">
        <f t="shared" si="1"/>
        <v>1</v>
      </c>
    </row>
    <row r="14" spans="2:7" ht="15.5">
      <c r="B14" s="134">
        <v>5</v>
      </c>
      <c r="C14" s="128">
        <f>IF(G14=TRUE,'Yearly Enterprise Budget'!$G$14,0)</f>
        <v>160200</v>
      </c>
      <c r="D14" s="129">
        <f>'Yearly Enterprise Budget'!$G$48</f>
        <v>103441.19047619047</v>
      </c>
      <c r="E14" s="129">
        <f t="shared" si="0"/>
        <v>56758.809523809527</v>
      </c>
      <c r="F14" s="129">
        <f t="shared" si="2"/>
        <v>188294.04761904763</v>
      </c>
      <c r="G14" s="127" t="b">
        <f t="shared" si="1"/>
        <v>1</v>
      </c>
    </row>
    <row r="15" spans="2:7" ht="15.5">
      <c r="B15" s="134">
        <v>6</v>
      </c>
      <c r="C15" s="128">
        <f>IF(G15=TRUE,'Yearly Enterprise Budget'!$G$14,0)</f>
        <v>160200</v>
      </c>
      <c r="D15" s="129">
        <f>'Yearly Enterprise Budget'!$G$48</f>
        <v>103441.19047619047</v>
      </c>
      <c r="E15" s="129">
        <f t="shared" si="0"/>
        <v>56758.809523809527</v>
      </c>
      <c r="F15" s="129">
        <f t="shared" si="2"/>
        <v>245052.85714285716</v>
      </c>
      <c r="G15" s="127" t="b">
        <f t="shared" si="1"/>
        <v>1</v>
      </c>
    </row>
    <row r="16" spans="2:7" ht="15.5">
      <c r="B16" s="134">
        <v>7</v>
      </c>
      <c r="C16" s="128">
        <f>IF(G16=TRUE,'Yearly Enterprise Budget'!$G$14,0)</f>
        <v>160200</v>
      </c>
      <c r="D16" s="129">
        <f>'Yearly Enterprise Budget'!$G$48</f>
        <v>103441.19047619047</v>
      </c>
      <c r="E16" s="129">
        <f t="shared" si="0"/>
        <v>56758.809523809527</v>
      </c>
      <c r="F16" s="129">
        <f t="shared" si="2"/>
        <v>301811.66666666669</v>
      </c>
      <c r="G16" s="127" t="b">
        <f t="shared" si="1"/>
        <v>1</v>
      </c>
    </row>
    <row r="17" spans="2:7" ht="15.5">
      <c r="B17" s="134">
        <v>8</v>
      </c>
      <c r="C17" s="128">
        <f>IF(G17=TRUE,'Yearly Enterprise Budget'!$G$14,0)</f>
        <v>160200</v>
      </c>
      <c r="D17" s="129">
        <f>'Yearly Enterprise Budget'!$G$48</f>
        <v>103441.19047619047</v>
      </c>
      <c r="E17" s="129">
        <f t="shared" si="0"/>
        <v>56758.809523809527</v>
      </c>
      <c r="F17" s="129">
        <f t="shared" si="2"/>
        <v>358570.47619047621</v>
      </c>
      <c r="G17" s="127" t="b">
        <f t="shared" si="1"/>
        <v>1</v>
      </c>
    </row>
    <row r="18" spans="2:7" ht="15.5">
      <c r="B18" s="134">
        <v>9</v>
      </c>
      <c r="C18" s="128">
        <f>IF(G18=TRUE,'Yearly Enterprise Budget'!$G$14,0)</f>
        <v>160200</v>
      </c>
      <c r="D18" s="129">
        <f>'Yearly Enterprise Budget'!$G$48</f>
        <v>103441.19047619047</v>
      </c>
      <c r="E18" s="129">
        <f t="shared" si="0"/>
        <v>56758.809523809527</v>
      </c>
      <c r="F18" s="129">
        <f t="shared" si="2"/>
        <v>415329.28571428574</v>
      </c>
      <c r="G18" s="127" t="b">
        <f t="shared" si="1"/>
        <v>1</v>
      </c>
    </row>
    <row r="19" spans="2:7" ht="15.5">
      <c r="B19" s="135">
        <v>10</v>
      </c>
      <c r="C19" s="131">
        <f>IF(G19=TRUE,'Yearly Enterprise Budget'!$G$14,0)</f>
        <v>160200</v>
      </c>
      <c r="D19" s="132">
        <f>'Yearly Enterprise Budget'!$G$48</f>
        <v>103441.19047619047</v>
      </c>
      <c r="E19" s="132">
        <f t="shared" si="0"/>
        <v>56758.809523809527</v>
      </c>
      <c r="F19" s="132">
        <f t="shared" si="2"/>
        <v>472088.09523809521</v>
      </c>
      <c r="G19" s="130" t="b">
        <f t="shared" si="1"/>
        <v>1</v>
      </c>
    </row>
    <row r="20" spans="2:7" ht="15.5">
      <c r="B20" s="119"/>
      <c r="C20" s="119"/>
      <c r="D20" s="119"/>
      <c r="E20" s="119"/>
      <c r="F20" s="119"/>
      <c r="G20" s="119"/>
    </row>
    <row r="21" spans="2:7" ht="15.5">
      <c r="B21" s="119"/>
      <c r="C21" s="119"/>
      <c r="D21" s="119"/>
      <c r="E21" s="119"/>
      <c r="F21" s="119"/>
      <c r="G21" s="119"/>
    </row>
    <row r="22" spans="2:7" ht="18.5">
      <c r="B22" s="287" t="s">
        <v>142</v>
      </c>
      <c r="C22" s="287"/>
      <c r="D22" s="287"/>
      <c r="E22" s="136">
        <f>IRR(E9:E19)</f>
        <v>0.58852421600457294</v>
      </c>
      <c r="F22" s="121"/>
      <c r="G22" s="119"/>
    </row>
    <row r="23" spans="2:7" ht="18.5">
      <c r="B23" s="287" t="s">
        <v>161</v>
      </c>
      <c r="C23" s="287"/>
      <c r="D23" s="287"/>
      <c r="E23" s="114">
        <f>NPV(E24,E9,E10,E11,E12,E13,E14,E15,E16,E17,E18,E19)</f>
        <v>304009.22549990902</v>
      </c>
      <c r="F23" s="119"/>
      <c r="G23" s="119"/>
    </row>
    <row r="24" spans="2:7" ht="18.5">
      <c r="B24" s="291" t="s">
        <v>186</v>
      </c>
      <c r="C24" s="291"/>
      <c r="D24" s="291"/>
      <c r="E24" s="139">
        <v>0.06</v>
      </c>
      <c r="F24" s="119"/>
      <c r="G24" s="119"/>
    </row>
    <row r="25" spans="2:7" ht="18.5">
      <c r="B25" s="287" t="s">
        <v>160</v>
      </c>
      <c r="C25" s="287"/>
      <c r="D25" s="287"/>
      <c r="E25" s="140">
        <f>(E23/D9)/(B19+1)</f>
        <v>0.28939478867197432</v>
      </c>
      <c r="F25" s="119"/>
      <c r="G25" s="119"/>
    </row>
    <row r="26" spans="2:7" ht="15.5">
      <c r="B26" s="119"/>
      <c r="C26" s="119"/>
      <c r="D26" s="119"/>
      <c r="E26" s="119"/>
      <c r="F26" s="119"/>
      <c r="G26" s="119"/>
    </row>
    <row r="27" spans="2:7" ht="15.5">
      <c r="B27" s="119" t="s">
        <v>157</v>
      </c>
      <c r="C27" s="119"/>
      <c r="D27" s="119"/>
      <c r="E27" s="119"/>
      <c r="F27" s="119"/>
      <c r="G27" s="119"/>
    </row>
    <row r="28" spans="2:7" ht="15.5">
      <c r="B28" s="119" t="s">
        <v>143</v>
      </c>
      <c r="C28" s="119"/>
      <c r="D28" s="119"/>
      <c r="E28" s="119"/>
      <c r="F28" s="119"/>
      <c r="G28" s="119"/>
    </row>
    <row r="29" spans="2:7" ht="15.5">
      <c r="B29" s="119" t="s">
        <v>158</v>
      </c>
      <c r="C29" s="119"/>
      <c r="D29" s="119"/>
      <c r="E29" s="119"/>
      <c r="F29" s="119"/>
      <c r="G29" s="119"/>
    </row>
  </sheetData>
  <mergeCells count="7">
    <mergeCell ref="B25:D25"/>
    <mergeCell ref="B6:C6"/>
    <mergeCell ref="B4:C4"/>
    <mergeCell ref="B5:C5"/>
    <mergeCell ref="B22:D22"/>
    <mergeCell ref="B23:D23"/>
    <mergeCell ref="B24:D24"/>
  </mergeCells>
  <printOptions headings="1" gridLines="1"/>
  <pageMargins left="0.7" right="0.7" top="0.75" bottom="0.75" header="0.3" footer="0.3"/>
  <pageSetup scale="86" orientation="landscape" verticalDpi="2"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rgb="FFFF0000"/>
    <pageSetUpPr fitToPage="1"/>
  </sheetPr>
  <dimension ref="B2:Q38"/>
  <sheetViews>
    <sheetView showGridLines="0" workbookViewId="0">
      <selection activeCell="R1" sqref="R1"/>
    </sheetView>
  </sheetViews>
  <sheetFormatPr defaultColWidth="8.81640625" defaultRowHeight="14.5"/>
  <cols>
    <col min="1" max="1" width="10" customWidth="1"/>
    <col min="2" max="2" width="15.453125" customWidth="1"/>
    <col min="3" max="6" width="15.1796875" customWidth="1"/>
    <col min="7" max="7" width="14.81640625" customWidth="1"/>
    <col min="8" max="8" width="11.453125" bestFit="1" customWidth="1"/>
    <col min="9" max="9" width="11.453125" customWidth="1"/>
    <col min="10" max="11" width="11.453125" bestFit="1" customWidth="1"/>
    <col min="12" max="13" width="10" bestFit="1" customWidth="1"/>
  </cols>
  <sheetData>
    <row r="2" spans="2:17" ht="60" customHeight="1">
      <c r="F2" s="23"/>
      <c r="G2" s="23"/>
      <c r="H2" s="23"/>
      <c r="I2" s="23"/>
      <c r="J2" s="8"/>
      <c r="K2" s="8"/>
    </row>
    <row r="3" spans="2:17" ht="20" customHeight="1">
      <c r="F3" s="23"/>
      <c r="G3" s="23"/>
      <c r="H3" s="23"/>
      <c r="I3" s="23"/>
      <c r="J3" s="8"/>
      <c r="K3" s="8"/>
    </row>
    <row r="4" spans="2:17" ht="23.5">
      <c r="B4" s="292" t="s">
        <v>127</v>
      </c>
      <c r="C4" s="292"/>
      <c r="D4" s="292"/>
      <c r="E4" s="23"/>
      <c r="F4" s="23"/>
      <c r="G4" s="23"/>
      <c r="H4" s="23"/>
      <c r="I4" s="8"/>
      <c r="J4" s="8"/>
    </row>
    <row r="5" spans="2:17" ht="9" customHeight="1">
      <c r="B5" s="215"/>
      <c r="C5" s="215"/>
      <c r="D5" s="215"/>
      <c r="E5" s="23"/>
      <c r="F5" s="23"/>
      <c r="G5" s="23"/>
      <c r="H5" s="23"/>
      <c r="I5" s="8"/>
      <c r="J5" s="8"/>
    </row>
    <row r="6" spans="2:17" s="21" customFormat="1" ht="47.5" customHeight="1">
      <c r="B6" s="212" t="s">
        <v>188</v>
      </c>
      <c r="C6" s="212" t="s">
        <v>96</v>
      </c>
      <c r="E6" s="23"/>
      <c r="F6" s="23"/>
      <c r="G6" s="23"/>
      <c r="H6" s="23"/>
      <c r="I6" s="23"/>
      <c r="J6" s="23"/>
    </row>
    <row r="7" spans="2:17" ht="20" customHeight="1">
      <c r="B7" s="213">
        <f>'Yearly Enterprise Budget'!D11</f>
        <v>180000</v>
      </c>
      <c r="C7" s="214">
        <f>'Yearly Enterprise Budget'!F11</f>
        <v>0.89</v>
      </c>
      <c r="E7" s="8"/>
      <c r="F7" s="8"/>
      <c r="G7" s="8"/>
      <c r="H7" s="8"/>
      <c r="I7" s="8"/>
      <c r="J7" s="8"/>
    </row>
    <row r="8" spans="2:17" ht="22" customHeight="1">
      <c r="B8" s="11"/>
      <c r="C8" s="11"/>
      <c r="D8" s="11"/>
      <c r="E8" s="11"/>
      <c r="F8" s="13"/>
      <c r="G8" s="12"/>
      <c r="H8" s="12"/>
      <c r="I8" s="12"/>
      <c r="J8" s="8"/>
      <c r="K8" s="8"/>
      <c r="L8" s="8"/>
      <c r="M8" s="8"/>
      <c r="N8" s="8"/>
      <c r="O8" s="8"/>
    </row>
    <row r="9" spans="2:17" ht="23.5">
      <c r="B9" s="302" t="s">
        <v>128</v>
      </c>
      <c r="C9" s="302"/>
      <c r="D9" s="302"/>
      <c r="E9" s="302"/>
      <c r="F9" s="302"/>
      <c r="G9" s="302"/>
      <c r="H9" s="302"/>
      <c r="I9" s="302"/>
      <c r="J9" s="302"/>
      <c r="K9" s="302"/>
      <c r="L9" s="302"/>
      <c r="M9" s="8"/>
      <c r="N9" s="8"/>
      <c r="O9" s="8"/>
    </row>
    <row r="10" spans="2:17" ht="15" thickBot="1">
      <c r="B10" s="11"/>
      <c r="C10" s="11"/>
      <c r="D10" s="11"/>
      <c r="E10" s="11"/>
      <c r="F10" s="11"/>
      <c r="G10" s="12"/>
      <c r="H10" s="12"/>
      <c r="I10" s="12"/>
      <c r="J10" s="8"/>
      <c r="K10" s="8"/>
      <c r="L10" s="8"/>
      <c r="M10" s="8"/>
      <c r="N10" s="8"/>
      <c r="O10" s="8"/>
    </row>
    <row r="11" spans="2:17">
      <c r="B11" s="293" t="s">
        <v>127</v>
      </c>
      <c r="C11" s="296" t="s">
        <v>140</v>
      </c>
      <c r="D11" s="297"/>
      <c r="E11" s="297"/>
      <c r="F11" s="297"/>
      <c r="G11" s="297"/>
      <c r="H11" s="297"/>
      <c r="I11" s="297"/>
      <c r="J11" s="297"/>
      <c r="K11" s="297"/>
      <c r="L11" s="298"/>
      <c r="M11" s="8"/>
      <c r="N11" s="8"/>
      <c r="O11" s="8"/>
      <c r="P11" s="8"/>
      <c r="Q11" s="8"/>
    </row>
    <row r="12" spans="2:17">
      <c r="B12" s="294"/>
      <c r="C12" s="27">
        <f t="shared" ref="C12" si="0">D12-0.05</f>
        <v>0.49999999999999972</v>
      </c>
      <c r="D12" s="27">
        <f t="shared" ref="D12" si="1">E12-0.05</f>
        <v>0.54999999999999971</v>
      </c>
      <c r="E12" s="27">
        <f t="shared" ref="E12" si="2">F12-0.05</f>
        <v>0.59999999999999976</v>
      </c>
      <c r="F12" s="27">
        <f t="shared" ref="F12:G12" si="3">G12-0.05</f>
        <v>0.6499999999999998</v>
      </c>
      <c r="G12" s="27">
        <f t="shared" si="3"/>
        <v>0.69999999999999984</v>
      </c>
      <c r="H12" s="27">
        <f>I12-0.05</f>
        <v>0.74999999999999989</v>
      </c>
      <c r="I12" s="27">
        <f>J12-0.05</f>
        <v>0.79999999999999993</v>
      </c>
      <c r="J12" s="27">
        <f>Assumptions!E14</f>
        <v>0.85</v>
      </c>
      <c r="K12" s="27">
        <f>J12+0.05</f>
        <v>0.9</v>
      </c>
      <c r="L12" s="216">
        <f>K12+0.05</f>
        <v>0.95000000000000007</v>
      </c>
      <c r="M12" s="8"/>
      <c r="N12" s="8"/>
      <c r="O12" s="8"/>
      <c r="P12" s="8"/>
      <c r="Q12" s="8"/>
    </row>
    <row r="13" spans="2:17">
      <c r="B13" s="294"/>
      <c r="C13" s="299" t="s">
        <v>97</v>
      </c>
      <c r="D13" s="300"/>
      <c r="E13" s="300"/>
      <c r="F13" s="300"/>
      <c r="G13" s="300"/>
      <c r="H13" s="300"/>
      <c r="I13" s="300"/>
      <c r="J13" s="300"/>
      <c r="K13" s="300"/>
      <c r="L13" s="301"/>
      <c r="M13" s="8"/>
      <c r="N13" s="8"/>
      <c r="O13" s="8"/>
      <c r="P13" s="8"/>
      <c r="Q13" s="8"/>
    </row>
    <row r="14" spans="2:17" ht="14.5" customHeight="1">
      <c r="B14" s="295"/>
      <c r="C14" s="25">
        <f>Assumptions!$K$36*'Sensitivity Analysis'!C12</f>
        <v>105882.35294117642</v>
      </c>
      <c r="D14" s="25">
        <f>Assumptions!$K$36*'Sensitivity Analysis'!D12</f>
        <v>116470.58823529407</v>
      </c>
      <c r="E14" s="25">
        <f>Assumptions!$K$36*'Sensitivity Analysis'!E12</f>
        <v>127058.82352941172</v>
      </c>
      <c r="F14" s="25">
        <f>Assumptions!$K$36*'Sensitivity Analysis'!F12</f>
        <v>137647.05882352937</v>
      </c>
      <c r="G14" s="25">
        <f>Assumptions!$K$36*'Sensitivity Analysis'!G12</f>
        <v>148235.29411764702</v>
      </c>
      <c r="H14" s="25">
        <f>Assumptions!$K$36*'Sensitivity Analysis'!H12</f>
        <v>158823.5294117647</v>
      </c>
      <c r="I14" s="25">
        <f>Assumptions!$K$36*'Sensitivity Analysis'!I12</f>
        <v>169411.76470588235</v>
      </c>
      <c r="J14" s="25">
        <f>Assumptions!$K$36*'Sensitivity Analysis'!J12</f>
        <v>180000</v>
      </c>
      <c r="K14" s="25">
        <f>Assumptions!$K$36*'Sensitivity Analysis'!K12</f>
        <v>190588.23529411765</v>
      </c>
      <c r="L14" s="217">
        <f>Assumptions!$K$36*'Sensitivity Analysis'!L12</f>
        <v>201176.47058823533</v>
      </c>
      <c r="M14" s="8"/>
      <c r="N14" s="8"/>
      <c r="O14" s="8"/>
      <c r="P14" s="8"/>
      <c r="Q14" s="8"/>
    </row>
    <row r="15" spans="2:17" ht="14.5" customHeight="1">
      <c r="B15" s="218">
        <f t="shared" ref="B15:B20" si="4">B16-0.02</f>
        <v>0.74999999999999989</v>
      </c>
      <c r="C15" s="14">
        <f>($B15*C$14)-'Yearly Enterprise Budget'!$G$48</f>
        <v>-24029.425770308168</v>
      </c>
      <c r="D15" s="14">
        <f>($B15*D$14)-'Yearly Enterprise Budget'!$G$48</f>
        <v>-16088.24929971993</v>
      </c>
      <c r="E15" s="14">
        <f>($B15*E$14)-'Yearly Enterprise Budget'!$G$48</f>
        <v>-8147.0728291316918</v>
      </c>
      <c r="F15" s="14">
        <f>($B15*F$14)-'Yearly Enterprise Budget'!$G$48</f>
        <v>-205.89635854346852</v>
      </c>
      <c r="G15" s="14">
        <f>($B15*G$14)-'Yearly Enterprise Budget'!$G$48</f>
        <v>7735.2801120447693</v>
      </c>
      <c r="H15" s="14">
        <f>($B15*H$14)-'Yearly Enterprise Budget'!$G$48</f>
        <v>15676.456582633036</v>
      </c>
      <c r="I15" s="14">
        <f>($B15*I$14)-'Yearly Enterprise Budget'!$G$48</f>
        <v>23617.633053221274</v>
      </c>
      <c r="J15" s="14">
        <f>($B15*J$14)-'Yearly Enterprise Budget'!$G$48</f>
        <v>31558.809523809497</v>
      </c>
      <c r="K15" s="14">
        <f>($B15*K$14)-'Yearly Enterprise Budget'!$G$48</f>
        <v>39499.98599439775</v>
      </c>
      <c r="L15" s="219">
        <f>($B15*L$14)-'Yearly Enterprise Budget'!$G$48</f>
        <v>47441.162464986002</v>
      </c>
      <c r="M15" s="8"/>
      <c r="N15" s="8"/>
      <c r="O15" s="8"/>
      <c r="P15" s="8"/>
      <c r="Q15" s="8"/>
    </row>
    <row r="16" spans="2:17" ht="14.5" customHeight="1">
      <c r="B16" s="218">
        <f t="shared" si="4"/>
        <v>0.76999999999999991</v>
      </c>
      <c r="C16" s="14">
        <f>($B16*C$14)-'Yearly Enterprise Budget'!$G$48</f>
        <v>-21911.778711484643</v>
      </c>
      <c r="D16" s="14">
        <f>($B16*D$14)-'Yearly Enterprise Budget'!$G$48</f>
        <v>-13758.837535014056</v>
      </c>
      <c r="E16" s="14">
        <f>($B16*E$14)-'Yearly Enterprise Budget'!$G$48</f>
        <v>-5605.8963585434685</v>
      </c>
      <c r="F16" s="14">
        <f>($B16*F$14)-'Yearly Enterprise Budget'!$G$48</f>
        <v>2547.0448179271334</v>
      </c>
      <c r="G16" s="14">
        <f>($B16*G$14)-'Yearly Enterprise Budget'!$G$48</f>
        <v>10699.985994397721</v>
      </c>
      <c r="H16" s="14">
        <f>($B16*H$14)-'Yearly Enterprise Budget'!$G$48</f>
        <v>18852.927170868337</v>
      </c>
      <c r="I16" s="14">
        <f>($B16*I$14)-'Yearly Enterprise Budget'!$G$48</f>
        <v>27005.868347338925</v>
      </c>
      <c r="J16" s="14">
        <f>($B16*J$14)-'Yearly Enterprise Budget'!$G$48</f>
        <v>35158.809523809497</v>
      </c>
      <c r="K16" s="14">
        <f>($B16*K$14)-'Yearly Enterprise Budget'!$G$48</f>
        <v>43311.750700280099</v>
      </c>
      <c r="L16" s="219">
        <f>($B16*L$14)-'Yearly Enterprise Budget'!$G$48</f>
        <v>51464.691876750701</v>
      </c>
      <c r="M16" s="8"/>
      <c r="N16" s="8"/>
      <c r="O16" s="8"/>
      <c r="P16" s="8"/>
      <c r="Q16" s="8"/>
    </row>
    <row r="17" spans="2:17" ht="14.5" customHeight="1">
      <c r="B17" s="218">
        <f t="shared" si="4"/>
        <v>0.78999999999999992</v>
      </c>
      <c r="C17" s="14">
        <f>($B17*C$14)-'Yearly Enterprise Budget'!$G$48</f>
        <v>-19794.131652661104</v>
      </c>
      <c r="D17" s="14">
        <f>($B17*D$14)-'Yearly Enterprise Budget'!$G$48</f>
        <v>-11429.425770308168</v>
      </c>
      <c r="E17" s="14">
        <f>($B17*E$14)-'Yearly Enterprise Budget'!$G$48</f>
        <v>-3064.7198879552307</v>
      </c>
      <c r="F17" s="14">
        <f>($B17*F$14)-'Yearly Enterprise Budget'!$G$48</f>
        <v>5299.9859943977208</v>
      </c>
      <c r="G17" s="14">
        <f>($B17*G$14)-'Yearly Enterprise Budget'!$G$48</f>
        <v>13664.691876750658</v>
      </c>
      <c r="H17" s="14">
        <f>($B17*H$14)-'Yearly Enterprise Budget'!$G$48</f>
        <v>22029.397759103624</v>
      </c>
      <c r="I17" s="14">
        <f>($B17*I$14)-'Yearly Enterprise Budget'!$G$48</f>
        <v>30394.103641456575</v>
      </c>
      <c r="J17" s="14">
        <f>($B17*J$14)-'Yearly Enterprise Budget'!$G$48</f>
        <v>38758.809523809527</v>
      </c>
      <c r="K17" s="14">
        <f>($B17*K$14)-'Yearly Enterprise Budget'!$G$48</f>
        <v>47123.515406162449</v>
      </c>
      <c r="L17" s="219">
        <f>($B17*L$14)-'Yearly Enterprise Budget'!$G$48</f>
        <v>55488.221288515429</v>
      </c>
      <c r="M17" s="8"/>
      <c r="N17" s="8"/>
      <c r="O17" s="8"/>
      <c r="P17" s="8"/>
      <c r="Q17" s="8"/>
    </row>
    <row r="18" spans="2:17">
      <c r="B18" s="218">
        <f t="shared" si="4"/>
        <v>0.80999999999999994</v>
      </c>
      <c r="C18" s="14">
        <f>($B18*C$14)-'Yearly Enterprise Budget'!$G$48</f>
        <v>-17676.48459383758</v>
      </c>
      <c r="D18" s="14">
        <f>($B18*D$14)-'Yearly Enterprise Budget'!$G$48</f>
        <v>-9100.0140056022792</v>
      </c>
      <c r="E18" s="14">
        <f>($B18*E$14)-'Yearly Enterprise Budget'!$G$48</f>
        <v>-523.5434173669928</v>
      </c>
      <c r="F18" s="14">
        <f>($B18*F$14)-'Yearly Enterprise Budget'!$G$48</f>
        <v>8052.9271708683082</v>
      </c>
      <c r="G18" s="14">
        <f>($B18*G$14)-'Yearly Enterprise Budget'!$G$48</f>
        <v>16629.397759103609</v>
      </c>
      <c r="H18" s="14">
        <f>($B18*H$14)-'Yearly Enterprise Budget'!$G$48</f>
        <v>25205.868347338925</v>
      </c>
      <c r="I18" s="14">
        <f>($B18*I$14)-'Yearly Enterprise Budget'!$G$48</f>
        <v>33782.338935574226</v>
      </c>
      <c r="J18" s="14">
        <f>($B18*J$14)-'Yearly Enterprise Budget'!$G$48</f>
        <v>42358.809523809527</v>
      </c>
      <c r="K18" s="14">
        <f>($B18*K$14)-'Yearly Enterprise Budget'!$G$48</f>
        <v>50935.280112044798</v>
      </c>
      <c r="L18" s="219">
        <f>($B18*L$14)-'Yearly Enterprise Budget'!$G$48</f>
        <v>59511.750700280129</v>
      </c>
      <c r="M18" s="8"/>
      <c r="N18" s="8"/>
      <c r="O18" s="8"/>
      <c r="P18" s="8"/>
      <c r="Q18" s="8"/>
    </row>
    <row r="19" spans="2:17">
      <c r="B19" s="218">
        <f t="shared" si="4"/>
        <v>0.83</v>
      </c>
      <c r="C19" s="14">
        <f>($B19*C$14)-'Yearly Enterprise Budget'!$G$48</f>
        <v>-15558.837535014056</v>
      </c>
      <c r="D19" s="14">
        <f>($B19*D$14)-'Yearly Enterprise Budget'!$G$48</f>
        <v>-6770.6022408964054</v>
      </c>
      <c r="E19" s="14">
        <f>($B19*E$14)-'Yearly Enterprise Budget'!$G$48</f>
        <v>2017.6330532212451</v>
      </c>
      <c r="F19" s="14">
        <f>($B19*F$14)-'Yearly Enterprise Budget'!$G$48</f>
        <v>10805.868347338896</v>
      </c>
      <c r="G19" s="14">
        <f>($B19*G$14)-'Yearly Enterprise Budget'!$G$48</f>
        <v>19594.103641456546</v>
      </c>
      <c r="H19" s="14">
        <f>($B19*H$14)-'Yearly Enterprise Budget'!$G$48</f>
        <v>28382.338935574226</v>
      </c>
      <c r="I19" s="14">
        <f>($B19*I$14)-'Yearly Enterprise Budget'!$G$48</f>
        <v>37170.574229691876</v>
      </c>
      <c r="J19" s="14">
        <f>($B19*J$14)-'Yearly Enterprise Budget'!$G$48</f>
        <v>45958.809523809527</v>
      </c>
      <c r="K19" s="14">
        <f>($B19*K$14)-'Yearly Enterprise Budget'!$G$48</f>
        <v>54747.044817927177</v>
      </c>
      <c r="L19" s="219">
        <f>($B19*L$14)-'Yearly Enterprise Budget'!$G$48</f>
        <v>63535.280112044857</v>
      </c>
      <c r="M19" s="8"/>
      <c r="N19" s="8"/>
      <c r="O19" s="8"/>
      <c r="P19" s="8"/>
      <c r="Q19" s="8"/>
    </row>
    <row r="20" spans="2:17">
      <c r="B20" s="218">
        <f t="shared" si="4"/>
        <v>0.85</v>
      </c>
      <c r="C20" s="14">
        <f>($B20*C$14)-'Yearly Enterprise Budget'!$G$48</f>
        <v>-13441.190476190517</v>
      </c>
      <c r="D20" s="14">
        <f>($B20*D$14)-'Yearly Enterprise Budget'!$G$48</f>
        <v>-4441.1904761905171</v>
      </c>
      <c r="E20" s="14">
        <f>($B20*E$14)-'Yearly Enterprise Budget'!$G$48</f>
        <v>4558.8095238094829</v>
      </c>
      <c r="F20" s="14">
        <f>($B20*F$14)-'Yearly Enterprise Budget'!$G$48</f>
        <v>13558.809523809483</v>
      </c>
      <c r="G20" s="14">
        <f>($B20*G$14)-'Yearly Enterprise Budget'!$G$48</f>
        <v>22558.809523809483</v>
      </c>
      <c r="H20" s="14">
        <f>($B20*H$14)-'Yearly Enterprise Budget'!$G$48</f>
        <v>31558.809523809527</v>
      </c>
      <c r="I20" s="14">
        <f>($B20*I$14)-'Yearly Enterprise Budget'!$G$48</f>
        <v>40558.809523809527</v>
      </c>
      <c r="J20" s="14">
        <f>($B20*J$14)-'Yearly Enterprise Budget'!$G$48</f>
        <v>49558.809523809527</v>
      </c>
      <c r="K20" s="14">
        <f>($B20*K$14)-'Yearly Enterprise Budget'!$G$48</f>
        <v>58558.809523809527</v>
      </c>
      <c r="L20" s="219">
        <f>($B20*L$14)-'Yearly Enterprise Budget'!$G$48</f>
        <v>67558.809523809556</v>
      </c>
      <c r="M20" s="8"/>
      <c r="N20" s="8"/>
      <c r="O20" s="8"/>
      <c r="P20" s="8"/>
      <c r="Q20" s="8"/>
    </row>
    <row r="21" spans="2:17">
      <c r="B21" s="218">
        <f>B22-0.02</f>
        <v>0.87</v>
      </c>
      <c r="C21" s="14">
        <f>($B21*C$14)-'Yearly Enterprise Budget'!$G$48</f>
        <v>-11323.543417366993</v>
      </c>
      <c r="D21" s="14">
        <f>($B21*D$14)-'Yearly Enterprise Budget'!$G$48</f>
        <v>-2111.7787114846287</v>
      </c>
      <c r="E21" s="14">
        <f>($B21*E$14)-'Yearly Enterprise Budget'!$G$48</f>
        <v>7099.9859943977208</v>
      </c>
      <c r="F21" s="14">
        <f>($B21*F$14)-'Yearly Enterprise Budget'!$G$48</f>
        <v>16311.75070028007</v>
      </c>
      <c r="G21" s="14">
        <f>($B21*G$14)-'Yearly Enterprise Budget'!$G$48</f>
        <v>25523.515406162434</v>
      </c>
      <c r="H21" s="14">
        <f>($B21*H$14)-'Yearly Enterprise Budget'!$G$48</f>
        <v>34735.280112044828</v>
      </c>
      <c r="I21" s="14">
        <f>($B21*I$14)-'Yearly Enterprise Budget'!$G$48</f>
        <v>43947.044817927177</v>
      </c>
      <c r="J21" s="17">
        <f>($B21*J$14)-'Yearly Enterprise Budget'!$G$48</f>
        <v>53158.809523809527</v>
      </c>
      <c r="K21" s="14">
        <f>($B21*K$14)-'Yearly Enterprise Budget'!$G$48</f>
        <v>62370.574229691876</v>
      </c>
      <c r="L21" s="219">
        <f>($B21*L$14)-'Yearly Enterprise Budget'!$G$48</f>
        <v>71582.338935574255</v>
      </c>
      <c r="M21" s="8"/>
      <c r="N21" s="8"/>
      <c r="O21" s="8"/>
      <c r="P21" s="8"/>
      <c r="Q21" s="8"/>
    </row>
    <row r="22" spans="2:17">
      <c r="B22" s="218">
        <f>C7</f>
        <v>0.89</v>
      </c>
      <c r="C22" s="14">
        <f>($B22*C$14)-'Yearly Enterprise Budget'!$G$48</f>
        <v>-9205.896358543454</v>
      </c>
      <c r="D22" s="14">
        <f>($B22*D$14)-'Yearly Enterprise Budget'!$G$48</f>
        <v>217.63305322124506</v>
      </c>
      <c r="E22" s="14">
        <f>($B22*E$14)-'Yearly Enterprise Budget'!$G$48</f>
        <v>9641.1624649859586</v>
      </c>
      <c r="F22" s="14">
        <f>($B22*F$14)-'Yearly Enterprise Budget'!$G$48</f>
        <v>19064.691876750672</v>
      </c>
      <c r="G22" s="14">
        <f>($B22*G$14)-'Yearly Enterprise Budget'!$G$48</f>
        <v>28488.221288515371</v>
      </c>
      <c r="H22" s="14">
        <f>($B22*H$14)-'Yearly Enterprise Budget'!$G$48</f>
        <v>37911.750700280099</v>
      </c>
      <c r="I22" s="15">
        <f>($B22*I$14)-'Yearly Enterprise Budget'!$G$48</f>
        <v>47335.280112044828</v>
      </c>
      <c r="J22" s="234">
        <f>($B22*J$14)-'Yearly Enterprise Budget'!$G$48</f>
        <v>56758.809523809527</v>
      </c>
      <c r="K22" s="16">
        <f>($B22*K$14)-'Yearly Enterprise Budget'!$G$48</f>
        <v>66182.338935574226</v>
      </c>
      <c r="L22" s="219">
        <f>($B22*L$14)-'Yearly Enterprise Budget'!$G$48</f>
        <v>75605.868347338983</v>
      </c>
      <c r="M22" s="8"/>
      <c r="N22" s="8"/>
      <c r="O22" s="8"/>
      <c r="P22" s="8"/>
      <c r="Q22" s="8"/>
    </row>
    <row r="23" spans="2:17">
      <c r="B23" s="218">
        <f>B22+0.02</f>
        <v>0.91</v>
      </c>
      <c r="C23" s="14">
        <f>($B23*C$14)-'Yearly Enterprise Budget'!$G$48</f>
        <v>-7088.2492997199297</v>
      </c>
      <c r="D23" s="14">
        <f>($B23*D$14)-'Yearly Enterprise Budget'!$G$48</f>
        <v>2547.0448179271334</v>
      </c>
      <c r="E23" s="14">
        <f>($B23*E$14)-'Yearly Enterprise Budget'!$G$48</f>
        <v>12182.338935574197</v>
      </c>
      <c r="F23" s="14">
        <f>($B23*F$14)-'Yearly Enterprise Budget'!$G$48</f>
        <v>21817.63305322126</v>
      </c>
      <c r="G23" s="14">
        <f>($B23*G$14)-'Yearly Enterprise Budget'!$G$48</f>
        <v>31452.927170868323</v>
      </c>
      <c r="H23" s="14">
        <f>($B23*H$14)-'Yearly Enterprise Budget'!$G$48</f>
        <v>41088.2212885154</v>
      </c>
      <c r="I23" s="15">
        <f>($B23*I$14)-'Yearly Enterprise Budget'!$G$48</f>
        <v>50723.515406162478</v>
      </c>
      <c r="J23" s="14">
        <f>($B23*J$14)-'Yearly Enterprise Budget'!$G$48</f>
        <v>60358.809523809527</v>
      </c>
      <c r="K23" s="16">
        <f>($B23*K$14)-'Yearly Enterprise Budget'!$G$48</f>
        <v>69994.103641456604</v>
      </c>
      <c r="L23" s="219">
        <f>($B23*L$14)-'Yearly Enterprise Budget'!$G$48</f>
        <v>79629.397759103682</v>
      </c>
      <c r="M23" s="8"/>
      <c r="N23" s="8"/>
      <c r="O23" s="8"/>
      <c r="P23" s="8"/>
      <c r="Q23" s="8"/>
    </row>
    <row r="24" spans="2:17">
      <c r="B24" s="218">
        <f t="shared" ref="B24:B32" si="5">B23+0.02</f>
        <v>0.93</v>
      </c>
      <c r="C24" s="14">
        <f>($B24*C$14)-'Yearly Enterprise Budget'!$G$48</f>
        <v>-4970.6022408964054</v>
      </c>
      <c r="D24" s="14">
        <f>($B24*D$14)-'Yearly Enterprise Budget'!$G$48</f>
        <v>4876.4565826330218</v>
      </c>
      <c r="E24" s="14">
        <f>($B24*E$14)-'Yearly Enterprise Budget'!$G$48</f>
        <v>14723.515406162434</v>
      </c>
      <c r="F24" s="14">
        <f>($B24*F$14)-'Yearly Enterprise Budget'!$G$48</f>
        <v>24570.574229691847</v>
      </c>
      <c r="G24" s="14">
        <f>($B24*G$14)-'Yearly Enterprise Budget'!$G$48</f>
        <v>34417.633053221274</v>
      </c>
      <c r="H24" s="14">
        <f>($B24*H$14)-'Yearly Enterprise Budget'!$G$48</f>
        <v>44264.691876750701</v>
      </c>
      <c r="I24" s="15">
        <f>($B24*I$14)-'Yearly Enterprise Budget'!$G$48</f>
        <v>54111.750700280129</v>
      </c>
      <c r="J24" s="14">
        <f>($B24*J$14)-'Yearly Enterprise Budget'!$G$48</f>
        <v>63958.809523809527</v>
      </c>
      <c r="K24" s="16">
        <f>($B24*K$14)-'Yearly Enterprise Budget'!$G$48</f>
        <v>73805.868347338954</v>
      </c>
      <c r="L24" s="219">
        <f>($B24*L$14)-'Yearly Enterprise Budget'!$G$48</f>
        <v>83652.927170868381</v>
      </c>
      <c r="M24" s="8"/>
      <c r="N24" s="8"/>
      <c r="O24" s="8"/>
      <c r="P24" s="8"/>
      <c r="Q24" s="8"/>
    </row>
    <row r="25" spans="2:17">
      <c r="B25" s="218">
        <f t="shared" si="5"/>
        <v>0.95000000000000007</v>
      </c>
      <c r="C25" s="14">
        <f>($B25*C$14)-'Yearly Enterprise Budget'!$G$48</f>
        <v>-2852.9551820728666</v>
      </c>
      <c r="D25" s="14">
        <f>($B25*D$14)-'Yearly Enterprise Budget'!$G$48</f>
        <v>7205.8683473388955</v>
      </c>
      <c r="E25" s="14">
        <f>($B25*E$14)-'Yearly Enterprise Budget'!$G$48</f>
        <v>17264.691876750672</v>
      </c>
      <c r="F25" s="14">
        <f>($B25*F$14)-'Yearly Enterprise Budget'!$G$48</f>
        <v>27323.515406162434</v>
      </c>
      <c r="G25" s="14">
        <f>($B25*G$14)-'Yearly Enterprise Budget'!$G$48</f>
        <v>37382.338935574197</v>
      </c>
      <c r="H25" s="14">
        <f>($B25*H$14)-'Yearly Enterprise Budget'!$G$48</f>
        <v>47441.162464986002</v>
      </c>
      <c r="I25" s="15">
        <f>($B25*I$14)-'Yearly Enterprise Budget'!$G$48</f>
        <v>57499.985994397779</v>
      </c>
      <c r="J25" s="14">
        <f>($B25*J$14)-'Yearly Enterprise Budget'!$G$48</f>
        <v>67558.809523809527</v>
      </c>
      <c r="K25" s="16">
        <f>($B25*K$14)-'Yearly Enterprise Budget'!$G$48</f>
        <v>77617.633053221303</v>
      </c>
      <c r="L25" s="219">
        <f>($B25*L$14)-'Yearly Enterprise Budget'!$G$48</f>
        <v>87676.456582633109</v>
      </c>
      <c r="M25" s="8"/>
      <c r="N25" s="8"/>
      <c r="O25" s="8"/>
      <c r="P25" s="8"/>
      <c r="Q25" s="8"/>
    </row>
    <row r="26" spans="2:17">
      <c r="B26" s="218">
        <f t="shared" si="5"/>
        <v>0.97000000000000008</v>
      </c>
      <c r="C26" s="14">
        <f>($B26*C$14)-'Yearly Enterprise Budget'!$G$48</f>
        <v>-735.30812324934232</v>
      </c>
      <c r="D26" s="14">
        <f>($B26*D$14)-'Yearly Enterprise Budget'!$G$48</f>
        <v>9535.2801120447839</v>
      </c>
      <c r="E26" s="14">
        <f>($B26*E$14)-'Yearly Enterprise Budget'!$G$48</f>
        <v>19805.86834733891</v>
      </c>
      <c r="F26" s="14">
        <f>($B26*F$14)-'Yearly Enterprise Budget'!$G$48</f>
        <v>30076.456582633022</v>
      </c>
      <c r="G26" s="14">
        <f>($B26*G$14)-'Yearly Enterprise Budget'!$G$48</f>
        <v>40347.044817927148</v>
      </c>
      <c r="H26" s="14">
        <f>($B26*H$14)-'Yearly Enterprise Budget'!$G$48</f>
        <v>50617.633053221303</v>
      </c>
      <c r="I26" s="15">
        <f>($B26*I$14)-'Yearly Enterprise Budget'!$G$48</f>
        <v>60888.221288515429</v>
      </c>
      <c r="J26" s="14">
        <f>($B26*J$14)-'Yearly Enterprise Budget'!$G$48</f>
        <v>71158.809523809556</v>
      </c>
      <c r="K26" s="16">
        <f>($B26*K$14)-'Yearly Enterprise Budget'!$G$48</f>
        <v>81429.397759103653</v>
      </c>
      <c r="L26" s="219">
        <f>($B26*L$14)-'Yearly Enterprise Budget'!$G$48</f>
        <v>91699.985994397808</v>
      </c>
      <c r="M26" s="8"/>
      <c r="N26" s="8"/>
      <c r="O26" s="8"/>
      <c r="P26" s="8"/>
      <c r="Q26" s="8"/>
    </row>
    <row r="27" spans="2:17">
      <c r="B27" s="218">
        <f t="shared" si="5"/>
        <v>0.9900000000000001</v>
      </c>
      <c r="C27" s="14">
        <f>($B27*C$14)-'Yearly Enterprise Budget'!$G$48</f>
        <v>1382.3389355741965</v>
      </c>
      <c r="D27" s="14">
        <f>($B27*D$14)-'Yearly Enterprise Budget'!$G$48</f>
        <v>11864.691876750672</v>
      </c>
      <c r="E27" s="14">
        <f>($B27*E$14)-'Yearly Enterprise Budget'!$G$48</f>
        <v>22347.044817927148</v>
      </c>
      <c r="F27" s="14">
        <f>($B27*F$14)-'Yearly Enterprise Budget'!$G$48</f>
        <v>32829.397759103624</v>
      </c>
      <c r="G27" s="14">
        <f>($B27*G$14)-'Yearly Enterprise Budget'!$G$48</f>
        <v>43311.750700280099</v>
      </c>
      <c r="H27" s="14">
        <f>($B27*H$14)-'Yearly Enterprise Budget'!$G$48</f>
        <v>53794.103641456604</v>
      </c>
      <c r="I27" s="15">
        <f>($B27*I$14)-'Yearly Enterprise Budget'!$G$48</f>
        <v>64276.45658263308</v>
      </c>
      <c r="J27" s="14">
        <f>($B27*J$14)-'Yearly Enterprise Budget'!$G$48</f>
        <v>74758.809523809556</v>
      </c>
      <c r="K27" s="16">
        <f>($B27*K$14)-'Yearly Enterprise Budget'!$G$48</f>
        <v>85241.162464986031</v>
      </c>
      <c r="L27" s="219">
        <f>($B27*L$14)-'Yearly Enterprise Budget'!$G$48</f>
        <v>95723.515406162536</v>
      </c>
      <c r="M27" s="8"/>
      <c r="N27" s="8"/>
      <c r="O27" s="8"/>
      <c r="P27" s="8"/>
      <c r="Q27" s="8"/>
    </row>
    <row r="28" spans="2:17">
      <c r="B28" s="218">
        <f t="shared" si="5"/>
        <v>1.01</v>
      </c>
      <c r="C28" s="14">
        <f>($B28*C$14)-'Yearly Enterprise Budget'!$G$48</f>
        <v>3499.9859943977062</v>
      </c>
      <c r="D28" s="14">
        <f>($B28*D$14)-'Yearly Enterprise Budget'!$G$48</f>
        <v>14194.103641456531</v>
      </c>
      <c r="E28" s="14">
        <f>($B28*E$14)-'Yearly Enterprise Budget'!$G$48</f>
        <v>24888.221288515357</v>
      </c>
      <c r="F28" s="14">
        <f>($B28*F$14)-'Yearly Enterprise Budget'!$G$48</f>
        <v>35582.338935574197</v>
      </c>
      <c r="G28" s="14">
        <f>($B28*G$14)-'Yearly Enterprise Budget'!$G$48</f>
        <v>46276.456582633022</v>
      </c>
      <c r="H28" s="14">
        <f>($B28*H$14)-'Yearly Enterprise Budget'!$G$48</f>
        <v>56970.574229691876</v>
      </c>
      <c r="I28" s="15">
        <f>($B28*I$14)-'Yearly Enterprise Budget'!$G$48</f>
        <v>67664.691876750701</v>
      </c>
      <c r="J28" s="14">
        <f>($B28*J$14)-'Yearly Enterprise Budget'!$G$48</f>
        <v>78358.809523809527</v>
      </c>
      <c r="K28" s="16">
        <f>($B28*K$14)-'Yearly Enterprise Budget'!$G$48</f>
        <v>89052.927170868352</v>
      </c>
      <c r="L28" s="219">
        <f>($B28*L$14)-'Yearly Enterprise Budget'!$G$48</f>
        <v>99747.044817927206</v>
      </c>
      <c r="M28" s="8"/>
      <c r="N28" s="8"/>
      <c r="O28" s="8"/>
      <c r="P28" s="8"/>
      <c r="Q28" s="8"/>
    </row>
    <row r="29" spans="2:17">
      <c r="B29" s="218">
        <f t="shared" si="5"/>
        <v>1.03</v>
      </c>
      <c r="C29" s="14">
        <f>($B29*C$14)-'Yearly Enterprise Budget'!$G$48</f>
        <v>5617.6330532212451</v>
      </c>
      <c r="D29" s="14">
        <f>($B29*D$14)-'Yearly Enterprise Budget'!$G$48</f>
        <v>16523.51540616242</v>
      </c>
      <c r="E29" s="14">
        <f>($B29*E$14)-'Yearly Enterprise Budget'!$G$48</f>
        <v>27429.397759103595</v>
      </c>
      <c r="F29" s="14">
        <f>($B29*F$14)-'Yearly Enterprise Budget'!$G$48</f>
        <v>38335.280112044769</v>
      </c>
      <c r="G29" s="14">
        <f>($B29*G$14)-'Yearly Enterprise Budget'!$G$48</f>
        <v>49241.162464985973</v>
      </c>
      <c r="H29" s="14">
        <f>($B29*H$14)-'Yearly Enterprise Budget'!$G$48</f>
        <v>60147.044817927177</v>
      </c>
      <c r="I29" s="14">
        <f>($B29*I$14)-'Yearly Enterprise Budget'!$G$48</f>
        <v>71052.927170868352</v>
      </c>
      <c r="J29" s="18">
        <f>($B29*J$14)-'Yearly Enterprise Budget'!$G$48</f>
        <v>81958.809523809527</v>
      </c>
      <c r="K29" s="14">
        <f>($B29*K$14)-'Yearly Enterprise Budget'!$G$48</f>
        <v>92864.691876750701</v>
      </c>
      <c r="L29" s="219">
        <f>($B29*L$14)-'Yearly Enterprise Budget'!$G$48</f>
        <v>103770.57422969193</v>
      </c>
      <c r="N29" s="8"/>
      <c r="O29" s="8"/>
    </row>
    <row r="30" spans="2:17">
      <c r="B30" s="218">
        <f t="shared" si="5"/>
        <v>1.05</v>
      </c>
      <c r="C30" s="14">
        <f>($B30*C$14)-'Yearly Enterprise Budget'!$G$48</f>
        <v>7735.2801120447693</v>
      </c>
      <c r="D30" s="14">
        <f>($B30*D$14)-'Yearly Enterprise Budget'!$G$48</f>
        <v>18852.927170868308</v>
      </c>
      <c r="E30" s="14">
        <f>($B30*E$14)-'Yearly Enterprise Budget'!$G$48</f>
        <v>29970.574229691847</v>
      </c>
      <c r="F30" s="14">
        <f>($B30*F$14)-'Yearly Enterprise Budget'!$G$48</f>
        <v>41088.221288515371</v>
      </c>
      <c r="G30" s="14">
        <f>($B30*G$14)-'Yearly Enterprise Budget'!$G$48</f>
        <v>52205.868347338896</v>
      </c>
      <c r="H30" s="14">
        <f>($B30*H$14)-'Yearly Enterprise Budget'!$G$48</f>
        <v>63323.515406162478</v>
      </c>
      <c r="I30" s="14">
        <f>($B30*I$14)-'Yearly Enterprise Budget'!$G$48</f>
        <v>74441.162464986002</v>
      </c>
      <c r="J30" s="14">
        <f>($B30*J$14)-'Yearly Enterprise Budget'!$G$48</f>
        <v>85558.809523809527</v>
      </c>
      <c r="K30" s="14">
        <f>($B30*K$14)-'Yearly Enterprise Budget'!$G$48</f>
        <v>96676.45658263308</v>
      </c>
      <c r="L30" s="219">
        <f>($B30*L$14)-'Yearly Enterprise Budget'!$G$48</f>
        <v>107794.10364145663</v>
      </c>
      <c r="N30" s="8"/>
      <c r="O30" s="8"/>
    </row>
    <row r="31" spans="2:17">
      <c r="B31" s="218">
        <f t="shared" si="5"/>
        <v>1.07</v>
      </c>
      <c r="C31" s="14">
        <f>($B31*C$14)-'Yearly Enterprise Budget'!$G$48</f>
        <v>9852.9271708682936</v>
      </c>
      <c r="D31" s="14">
        <f>($B31*D$14)-'Yearly Enterprise Budget'!$G$48</f>
        <v>21182.338935574182</v>
      </c>
      <c r="E31" s="14">
        <f>($B31*E$14)-'Yearly Enterprise Budget'!$G$48</f>
        <v>32511.75070028007</v>
      </c>
      <c r="F31" s="14">
        <f>($B31*F$14)-'Yearly Enterprise Budget'!$G$48</f>
        <v>43841.162464985973</v>
      </c>
      <c r="G31" s="14">
        <f>($B31*G$14)-'Yearly Enterprise Budget'!$G$48</f>
        <v>55170.574229691847</v>
      </c>
      <c r="H31" s="14">
        <f>($B31*H$14)-'Yearly Enterprise Budget'!$G$48</f>
        <v>66499.98599439775</v>
      </c>
      <c r="I31" s="14">
        <f>($B31*I$14)-'Yearly Enterprise Budget'!$G$48</f>
        <v>77829.397759103653</v>
      </c>
      <c r="J31" s="14">
        <f>($B31*J$14)-'Yearly Enterprise Budget'!$G$48</f>
        <v>89158.809523809527</v>
      </c>
      <c r="K31" s="14">
        <f>($B31*K$14)-'Yearly Enterprise Budget'!$G$48</f>
        <v>100488.22128851543</v>
      </c>
      <c r="L31" s="219">
        <f>($B31*L$14)-'Yearly Enterprise Budget'!$G$48</f>
        <v>111817.63305322133</v>
      </c>
      <c r="N31" s="8"/>
      <c r="O31" s="8"/>
    </row>
    <row r="32" spans="2:17" ht="15" thickBot="1">
      <c r="B32" s="220">
        <f t="shared" si="5"/>
        <v>1.0900000000000001</v>
      </c>
      <c r="C32" s="221">
        <f>($B32*C$14)-'Yearly Enterprise Budget'!$G$48</f>
        <v>11970.574229691832</v>
      </c>
      <c r="D32" s="221">
        <f>($B32*D$14)-'Yearly Enterprise Budget'!$G$48</f>
        <v>23511.75070028007</v>
      </c>
      <c r="E32" s="221">
        <f>($B32*E$14)-'Yearly Enterprise Budget'!$G$48</f>
        <v>35052.927170868323</v>
      </c>
      <c r="F32" s="221">
        <f>($B32*F$14)-'Yearly Enterprise Budget'!$G$48</f>
        <v>46594.103641456546</v>
      </c>
      <c r="G32" s="221">
        <f>($B32*G$14)-'Yearly Enterprise Budget'!$G$48</f>
        <v>58135.280112044798</v>
      </c>
      <c r="H32" s="221">
        <f>($B32*H$14)-'Yearly Enterprise Budget'!$G$48</f>
        <v>69676.456582633051</v>
      </c>
      <c r="I32" s="221">
        <f>($B32*I$14)-'Yearly Enterprise Budget'!$G$48</f>
        <v>81217.633053221303</v>
      </c>
      <c r="J32" s="221">
        <f>($B32*J$14)-'Yearly Enterprise Budget'!$G$48</f>
        <v>92758.809523809527</v>
      </c>
      <c r="K32" s="221">
        <f>($B32*K$14)-'Yearly Enterprise Budget'!$G$48</f>
        <v>104299.98599439778</v>
      </c>
      <c r="L32" s="222">
        <f>($B32*L$14)-'Yearly Enterprise Budget'!$G$48</f>
        <v>115841.16246498606</v>
      </c>
      <c r="N32" s="8"/>
      <c r="O32" s="8"/>
    </row>
    <row r="34" spans="2:2">
      <c r="B34" s="5" t="s">
        <v>141</v>
      </c>
    </row>
    <row r="37" spans="2:2" ht="15.5">
      <c r="B37" s="231" t="s">
        <v>200</v>
      </c>
    </row>
    <row r="38" spans="2:2">
      <c r="B38" s="232" t="s">
        <v>201</v>
      </c>
    </row>
  </sheetData>
  <mergeCells count="5">
    <mergeCell ref="B4:D4"/>
    <mergeCell ref="B11:B14"/>
    <mergeCell ref="C11:L11"/>
    <mergeCell ref="C13:L13"/>
    <mergeCell ref="B9:L9"/>
  </mergeCells>
  <hyperlinks>
    <hyperlink ref="B38" r:id="rId1" xr:uid="{00000000-0004-0000-0700-000000000000}"/>
  </hyperlinks>
  <printOptions headings="1" gridLines="1"/>
  <pageMargins left="0.7" right="0.7" top="0.75" bottom="0.75" header="0.3" footer="0.3"/>
  <pageSetup orientation="landscape" verticalDpi="2"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Introduction</vt:lpstr>
      <vt:lpstr>How To Use</vt:lpstr>
      <vt:lpstr>Land Expense</vt:lpstr>
      <vt:lpstr>Assumptions</vt:lpstr>
      <vt:lpstr>Bottom Prep and Capital Cost</vt:lpstr>
      <vt:lpstr>Yearly Enterprise Budget</vt:lpstr>
      <vt:lpstr>Yearly Income Analysis</vt:lpstr>
      <vt:lpstr>Sensitivity Analysis</vt:lpstr>
      <vt:lpstr>'Yearly Enterprise Budget'!Print_Area</vt:lpstr>
    </vt:vector>
  </TitlesOfParts>
  <Company>AGNR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IET</dc:creator>
  <cp:lastModifiedBy>Sturmer,Leslie Noel</cp:lastModifiedBy>
  <cp:lastPrinted>2012-11-28T14:44:04Z</cp:lastPrinted>
  <dcterms:created xsi:type="dcterms:W3CDTF">2011-05-19T12:50:34Z</dcterms:created>
  <dcterms:modified xsi:type="dcterms:W3CDTF">2024-02-13T17:17:28Z</dcterms:modified>
</cp:coreProperties>
</file>