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G:\Common\Shellfish Extension\SC-FL 2024 RMA Risk Project\Web Page\"/>
    </mc:Choice>
  </mc:AlternateContent>
  <xr:revisionPtr revIDLastSave="0" documentId="8_{5B592841-E2EA-4ABC-8573-CCC80C3AA604}" xr6:coauthVersionLast="47" xr6:coauthVersionMax="47" xr10:uidLastSave="{00000000-0000-0000-0000-000000000000}"/>
  <bookViews>
    <workbookView xWindow="-110" yWindow="-110" windowWidth="19420" windowHeight="10420" tabRatio="950" xr2:uid="{00000000-000D-0000-FFFF-FFFF00000000}"/>
  </bookViews>
  <sheets>
    <sheet name="Introduction" sheetId="2" r:id="rId1"/>
    <sheet name="Questionnaire " sheetId="62" r:id="rId2"/>
    <sheet name="Instructions" sheetId="36" r:id="rId3"/>
    <sheet name="Budget" sheetId="1" r:id="rId4"/>
    <sheet name="Cash Cost Sensitivities (1)" sheetId="63" r:id="rId5"/>
    <sheet name="Cash Cost Sensitivities (2)" sheetId="64" r:id="rId6"/>
    <sheet name="Total Cost Sensitivities (1)" sheetId="8" r:id="rId7"/>
    <sheet name="Total Cost Sensitivities (2)" sheetId="10" r:id="rId8"/>
    <sheet name="Size Distribution Proxy (9)" sheetId="61" state="hidden" r:id="rId9"/>
    <sheet name="Size Distribution Proxy (8)" sheetId="60" state="hidden" r:id="rId10"/>
    <sheet name="Size Distribution Proxy (7)" sheetId="59" state="hidden" r:id="rId11"/>
    <sheet name="Size Distribution Proxy (6)" sheetId="58" state="hidden" r:id="rId12"/>
    <sheet name="Size Distribution Proxy (5)" sheetId="57" state="hidden" r:id="rId13"/>
    <sheet name="Size Distribution Proxy (4)" sheetId="56" state="hidden" r:id="rId14"/>
    <sheet name="Size Distribution Proxy (3)" sheetId="55" state="hidden" r:id="rId15"/>
    <sheet name="Size Distribution Proxy (2)" sheetId="54" state="hidden" r:id="rId16"/>
    <sheet name="Size Distribution Proxy (1)" sheetId="53" state="hidden" r:id="rId17"/>
    <sheet name="Market Price Proxy (11)" sheetId="52" state="hidden" r:id="rId18"/>
    <sheet name="Market Price Proxy (10)" sheetId="51" state="hidden" r:id="rId19"/>
    <sheet name="Market Price Proxy (9)" sheetId="50" state="hidden" r:id="rId20"/>
    <sheet name="Market Price Proxy (8)" sheetId="49" state="hidden" r:id="rId21"/>
    <sheet name="Market Price Proxy (7)" sheetId="48" state="hidden" r:id="rId22"/>
    <sheet name="Market Price Proxy (6)" sheetId="47" state="hidden" r:id="rId23"/>
    <sheet name="Market Price Proxy (5)" sheetId="46" state="hidden" r:id="rId24"/>
    <sheet name="Market Price Proxy (4)" sheetId="45" state="hidden" r:id="rId25"/>
    <sheet name="Market Price Proxy (3)" sheetId="44" state="hidden" r:id="rId26"/>
    <sheet name="Market Price Proxy (2)" sheetId="42" state="hidden" r:id="rId27"/>
    <sheet name="Market Price Proxy (1)" sheetId="41" state="hidden" r:id="rId28"/>
    <sheet name="Sheet1" sheetId="65" state="hidden" r:id="rId29"/>
  </sheets>
  <definedNames>
    <definedName name="solver_eng" localSheetId="7" hidden="1">1</definedName>
    <definedName name="solver_lin" localSheetId="7" hidden="1">2</definedName>
    <definedName name="solver_neg" localSheetId="7" hidden="1">1</definedName>
    <definedName name="solver_num" localSheetId="7" hidden="1">0</definedName>
    <definedName name="solver_opt" localSheetId="7" hidden="1">'Total Cost Sensitivities (2)'!#REF!</definedName>
    <definedName name="solver_typ" localSheetId="7" hidden="1">1</definedName>
    <definedName name="solver_val" localSheetId="7" hidden="1">0</definedName>
    <definedName name="solver_ver" localSheetId="7"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 l="1"/>
  <c r="G75" i="1"/>
  <c r="F75" i="1"/>
  <c r="E75" i="1"/>
  <c r="D75" i="1"/>
  <c r="C32" i="10" l="1"/>
  <c r="C33" i="10" s="1"/>
  <c r="C34" i="10" s="1"/>
  <c r="B32" i="10"/>
  <c r="B33" i="10" s="1"/>
  <c r="A32" i="10"/>
  <c r="A31" i="10" s="1"/>
  <c r="C14" i="10"/>
  <c r="C15" i="10" s="1"/>
  <c r="B14" i="10"/>
  <c r="B16" i="10" s="1"/>
  <c r="A14" i="10"/>
  <c r="A17" i="10" s="1"/>
  <c r="B17" i="10" l="1"/>
  <c r="B9" i="10"/>
  <c r="C9" i="10"/>
  <c r="C16" i="10"/>
  <c r="C11" i="10"/>
  <c r="C17" i="10"/>
  <c r="C8" i="10"/>
  <c r="C12" i="10"/>
  <c r="C18" i="10"/>
  <c r="C13" i="10"/>
  <c r="C19" i="10"/>
  <c r="C7" i="10"/>
  <c r="C21" i="10"/>
  <c r="C10" i="10"/>
  <c r="B19" i="10"/>
  <c r="B10" i="10"/>
  <c r="B11" i="10"/>
  <c r="B12" i="10"/>
  <c r="B18" i="10"/>
  <c r="A10" i="10"/>
  <c r="A20" i="10"/>
  <c r="A7" i="10"/>
  <c r="A13" i="10"/>
  <c r="A21" i="10"/>
  <c r="A18" i="10"/>
  <c r="A8" i="10"/>
  <c r="A9" i="10"/>
  <c r="A19" i="10"/>
  <c r="A11" i="10"/>
  <c r="A12" i="10"/>
  <c r="A15" i="10"/>
  <c r="B34" i="10"/>
  <c r="A33" i="10"/>
  <c r="A30" i="10"/>
  <c r="B31" i="10"/>
  <c r="C31" i="10"/>
  <c r="B20" i="10"/>
  <c r="B13" i="10"/>
  <c r="C20" i="10"/>
  <c r="B21" i="10"/>
  <c r="B7" i="10"/>
  <c r="B15" i="10"/>
  <c r="A16" i="10"/>
  <c r="B8" i="10"/>
  <c r="A12" i="8"/>
  <c r="A16" i="8" s="1"/>
  <c r="A32" i="64"/>
  <c r="A31" i="64" s="1"/>
  <c r="E16" i="1"/>
  <c r="F16" i="1" s="1"/>
  <c r="C32" i="64"/>
  <c r="B32" i="64"/>
  <c r="C14" i="64"/>
  <c r="C15" i="64" s="1"/>
  <c r="I9" i="50" s="1"/>
  <c r="E88" i="50" s="1"/>
  <c r="B14" i="64"/>
  <c r="B13" i="64" s="1"/>
  <c r="I8" i="48" s="1"/>
  <c r="E87" i="48" s="1"/>
  <c r="A14" i="64"/>
  <c r="A20" i="64" s="1"/>
  <c r="E24" i="1"/>
  <c r="F24" i="1" s="1"/>
  <c r="F23" i="54" s="1"/>
  <c r="E23" i="1"/>
  <c r="E22" i="60" s="1"/>
  <c r="A12" i="63"/>
  <c r="A6" i="63" s="1"/>
  <c r="K29" i="1"/>
  <c r="K28" i="53" s="1"/>
  <c r="J29" i="1"/>
  <c r="J28" i="57" s="1"/>
  <c r="I29" i="1"/>
  <c r="I28" i="45" s="1"/>
  <c r="H29" i="1"/>
  <c r="H28" i="55" s="1"/>
  <c r="G29" i="1"/>
  <c r="G28" i="53" s="1"/>
  <c r="K25" i="1"/>
  <c r="K24" i="49" s="1"/>
  <c r="J25" i="1"/>
  <c r="J24" i="53" s="1"/>
  <c r="I25" i="1"/>
  <c r="I24" i="56" s="1"/>
  <c r="H25" i="1"/>
  <c r="H24" i="53" s="1"/>
  <c r="G25" i="1"/>
  <c r="G24" i="56" s="1"/>
  <c r="C40" i="1"/>
  <c r="D45" i="49" s="1"/>
  <c r="F97" i="49" s="1"/>
  <c r="E19" i="1"/>
  <c r="E18" i="1"/>
  <c r="E11" i="1"/>
  <c r="D88" i="1"/>
  <c r="A89" i="8"/>
  <c r="A107" i="63"/>
  <c r="E28" i="1"/>
  <c r="E27" i="49" s="1"/>
  <c r="E27" i="1"/>
  <c r="E27" i="61" s="1"/>
  <c r="B72" i="52"/>
  <c r="C72" i="52"/>
  <c r="D72" i="52"/>
  <c r="E72" i="52"/>
  <c r="F72" i="52"/>
  <c r="G72" i="52"/>
  <c r="H72" i="52"/>
  <c r="I72" i="52"/>
  <c r="B73" i="52"/>
  <c r="B70" i="1"/>
  <c r="C73" i="51" s="1"/>
  <c r="C70" i="1"/>
  <c r="D73" i="52" s="1"/>
  <c r="B74" i="52"/>
  <c r="B71" i="1"/>
  <c r="C74" i="52" s="1"/>
  <c r="C71" i="1"/>
  <c r="D74" i="52" s="1"/>
  <c r="B75" i="52"/>
  <c r="B72" i="1"/>
  <c r="C75" i="52" s="1"/>
  <c r="C72" i="1"/>
  <c r="D75" i="52" s="1"/>
  <c r="B76" i="52"/>
  <c r="B73" i="1"/>
  <c r="C76" i="52" s="1"/>
  <c r="C73" i="1"/>
  <c r="B77" i="52"/>
  <c r="B74" i="1"/>
  <c r="C77" i="47" s="1"/>
  <c r="C74" i="1"/>
  <c r="D77" i="52" s="1"/>
  <c r="B78" i="52"/>
  <c r="B75" i="1"/>
  <c r="C78" i="50" s="1"/>
  <c r="C75" i="1"/>
  <c r="B79" i="52"/>
  <c r="B76" i="1"/>
  <c r="C79" i="45" s="1"/>
  <c r="C76" i="1"/>
  <c r="D79" i="50" s="1"/>
  <c r="B80" i="52"/>
  <c r="C80" i="52"/>
  <c r="D80" i="52"/>
  <c r="B72" i="51"/>
  <c r="C72" i="51"/>
  <c r="D72" i="51"/>
  <c r="E72" i="51"/>
  <c r="F72" i="51"/>
  <c r="G72" i="51"/>
  <c r="H72" i="51"/>
  <c r="I72" i="51"/>
  <c r="B73" i="51"/>
  <c r="B74" i="51"/>
  <c r="B75" i="51"/>
  <c r="B76" i="51"/>
  <c r="B77" i="51"/>
  <c r="B78" i="51"/>
  <c r="B79" i="51"/>
  <c r="B80" i="51"/>
  <c r="C80" i="51"/>
  <c r="D80" i="51"/>
  <c r="B72" i="50"/>
  <c r="C72" i="50"/>
  <c r="D72" i="50"/>
  <c r="E72" i="50"/>
  <c r="F72" i="50"/>
  <c r="G72" i="50"/>
  <c r="H72" i="50"/>
  <c r="I72" i="50"/>
  <c r="B73" i="50"/>
  <c r="B74" i="50"/>
  <c r="B75" i="50"/>
  <c r="C75" i="50"/>
  <c r="B76" i="50"/>
  <c r="B77" i="50"/>
  <c r="B78" i="50"/>
  <c r="B79" i="50"/>
  <c r="B80" i="50"/>
  <c r="C80" i="50"/>
  <c r="D80" i="50"/>
  <c r="B72" i="49"/>
  <c r="C72" i="49"/>
  <c r="D72" i="49"/>
  <c r="E72" i="49"/>
  <c r="F72" i="49"/>
  <c r="G72" i="49"/>
  <c r="H72" i="49"/>
  <c r="I72" i="49"/>
  <c r="B73" i="49"/>
  <c r="B74" i="49"/>
  <c r="B75" i="49"/>
  <c r="B76" i="49"/>
  <c r="B77" i="49"/>
  <c r="C77" i="49"/>
  <c r="B78" i="49"/>
  <c r="B79" i="49"/>
  <c r="B80" i="49"/>
  <c r="C80" i="49"/>
  <c r="D80" i="49"/>
  <c r="B72" i="48"/>
  <c r="C72" i="48"/>
  <c r="D72" i="48"/>
  <c r="E72" i="48"/>
  <c r="F72" i="48"/>
  <c r="G72" i="48"/>
  <c r="H72" i="48"/>
  <c r="I72" i="48"/>
  <c r="B73" i="48"/>
  <c r="B74" i="48"/>
  <c r="B75" i="48"/>
  <c r="B76" i="48"/>
  <c r="B77" i="48"/>
  <c r="B78" i="48"/>
  <c r="B79" i="48"/>
  <c r="B80" i="48"/>
  <c r="C80" i="48"/>
  <c r="D80" i="48"/>
  <c r="B72" i="47"/>
  <c r="C72" i="47"/>
  <c r="D72" i="47"/>
  <c r="E72" i="47"/>
  <c r="F72" i="47"/>
  <c r="G72" i="47"/>
  <c r="H72" i="47"/>
  <c r="I72" i="47"/>
  <c r="B73" i="47"/>
  <c r="B74" i="47"/>
  <c r="B75" i="47"/>
  <c r="B76" i="47"/>
  <c r="B77" i="47"/>
  <c r="B78" i="47"/>
  <c r="C78" i="47"/>
  <c r="B79" i="47"/>
  <c r="B80" i="47"/>
  <c r="C80" i="47"/>
  <c r="D80" i="47"/>
  <c r="B72" i="46"/>
  <c r="C72" i="46"/>
  <c r="D72" i="46"/>
  <c r="E72" i="46"/>
  <c r="F72" i="46"/>
  <c r="G72" i="46"/>
  <c r="H72" i="46"/>
  <c r="I72" i="46"/>
  <c r="B73" i="46"/>
  <c r="B74" i="46"/>
  <c r="B75" i="46"/>
  <c r="B76" i="46"/>
  <c r="B77" i="46"/>
  <c r="B78" i="46"/>
  <c r="B79" i="46"/>
  <c r="B80" i="46"/>
  <c r="C80" i="46"/>
  <c r="D80" i="46"/>
  <c r="B72" i="45"/>
  <c r="C72" i="45"/>
  <c r="D72" i="45"/>
  <c r="E72" i="45"/>
  <c r="F72" i="45"/>
  <c r="G72" i="45"/>
  <c r="H72" i="45"/>
  <c r="I72" i="45"/>
  <c r="B73" i="45"/>
  <c r="B74" i="45"/>
  <c r="B75" i="45"/>
  <c r="C75" i="45"/>
  <c r="B76" i="45"/>
  <c r="B77" i="45"/>
  <c r="B78" i="45"/>
  <c r="B79" i="45"/>
  <c r="B80" i="45"/>
  <c r="C80" i="45"/>
  <c r="D80" i="45"/>
  <c r="B72" i="44"/>
  <c r="C72" i="44"/>
  <c r="D72" i="44"/>
  <c r="E72" i="44"/>
  <c r="F72" i="44"/>
  <c r="G72" i="44"/>
  <c r="H72" i="44"/>
  <c r="I72" i="44"/>
  <c r="B73" i="44"/>
  <c r="B74" i="44"/>
  <c r="B75" i="44"/>
  <c r="C75" i="44"/>
  <c r="B76" i="44"/>
  <c r="B77" i="44"/>
  <c r="B78" i="44"/>
  <c r="B79" i="44"/>
  <c r="B80" i="44"/>
  <c r="C80" i="44"/>
  <c r="D80" i="44"/>
  <c r="B72" i="42"/>
  <c r="C72" i="42"/>
  <c r="D72" i="42"/>
  <c r="E72" i="42"/>
  <c r="F72" i="42"/>
  <c r="G72" i="42"/>
  <c r="H72" i="42"/>
  <c r="I72" i="42"/>
  <c r="B73" i="42"/>
  <c r="B74" i="42"/>
  <c r="B75" i="42"/>
  <c r="C75" i="42"/>
  <c r="B76" i="42"/>
  <c r="B77" i="42"/>
  <c r="B78" i="42"/>
  <c r="B79" i="42"/>
  <c r="B80" i="42"/>
  <c r="C80" i="42"/>
  <c r="D80" i="42"/>
  <c r="B72" i="41"/>
  <c r="C72" i="41"/>
  <c r="D72" i="41"/>
  <c r="E72" i="41"/>
  <c r="F72" i="41"/>
  <c r="G72" i="41"/>
  <c r="H72" i="41"/>
  <c r="I72" i="41"/>
  <c r="B73" i="41"/>
  <c r="B74" i="41"/>
  <c r="B75" i="41"/>
  <c r="C75" i="41"/>
  <c r="B76" i="41"/>
  <c r="B77" i="41"/>
  <c r="B78" i="41"/>
  <c r="B79" i="41"/>
  <c r="B80" i="41"/>
  <c r="C80" i="41"/>
  <c r="D80" i="41"/>
  <c r="B72" i="57"/>
  <c r="C72" i="57"/>
  <c r="D72" i="57"/>
  <c r="E72" i="57"/>
  <c r="F72" i="57"/>
  <c r="G72" i="57"/>
  <c r="H72" i="57"/>
  <c r="I72" i="57"/>
  <c r="B73" i="57"/>
  <c r="B74" i="57"/>
  <c r="B75" i="57"/>
  <c r="B76" i="57"/>
  <c r="B77" i="57"/>
  <c r="B78" i="57"/>
  <c r="B79" i="57"/>
  <c r="B80" i="57"/>
  <c r="C80" i="57"/>
  <c r="D80" i="57"/>
  <c r="B72" i="56"/>
  <c r="C72" i="56"/>
  <c r="D72" i="56"/>
  <c r="E72" i="56"/>
  <c r="F72" i="56"/>
  <c r="G72" i="56"/>
  <c r="H72" i="56"/>
  <c r="I72" i="56"/>
  <c r="B73" i="56"/>
  <c r="D73" i="56"/>
  <c r="B74" i="56"/>
  <c r="B75" i="56"/>
  <c r="B76" i="56"/>
  <c r="B77" i="56"/>
  <c r="B78" i="56"/>
  <c r="B79" i="56"/>
  <c r="B80" i="56"/>
  <c r="C80" i="56"/>
  <c r="D80" i="56"/>
  <c r="B72" i="55"/>
  <c r="C72" i="55"/>
  <c r="D72" i="55"/>
  <c r="E72" i="55"/>
  <c r="F72" i="55"/>
  <c r="G72" i="55"/>
  <c r="H72" i="55"/>
  <c r="I72" i="55"/>
  <c r="B73" i="55"/>
  <c r="B74" i="55"/>
  <c r="B75" i="55"/>
  <c r="C75" i="55"/>
  <c r="B76" i="55"/>
  <c r="B77" i="55"/>
  <c r="B78" i="55"/>
  <c r="B79" i="55"/>
  <c r="B80" i="55"/>
  <c r="C80" i="55"/>
  <c r="D80" i="55"/>
  <c r="B72" i="54"/>
  <c r="C72" i="54"/>
  <c r="D72" i="54"/>
  <c r="E72" i="54"/>
  <c r="F72" i="54"/>
  <c r="G72" i="54"/>
  <c r="H72" i="54"/>
  <c r="I72" i="54"/>
  <c r="B73" i="54"/>
  <c r="B74" i="54"/>
  <c r="B75" i="54"/>
  <c r="C75" i="54"/>
  <c r="B76" i="54"/>
  <c r="B77" i="54"/>
  <c r="B78" i="54"/>
  <c r="B79" i="54"/>
  <c r="B80" i="54"/>
  <c r="C80" i="54"/>
  <c r="D80" i="54"/>
  <c r="B72" i="53"/>
  <c r="C72" i="53"/>
  <c r="D72" i="53"/>
  <c r="E72" i="53"/>
  <c r="F72" i="53"/>
  <c r="G72" i="53"/>
  <c r="H72" i="53"/>
  <c r="I72" i="53"/>
  <c r="B73" i="53"/>
  <c r="B74" i="53"/>
  <c r="B75" i="53"/>
  <c r="C75" i="53"/>
  <c r="B76" i="53"/>
  <c r="B77" i="53"/>
  <c r="D77" i="53"/>
  <c r="B78" i="53"/>
  <c r="B79" i="53"/>
  <c r="B80" i="53"/>
  <c r="C80" i="53"/>
  <c r="D80" i="53"/>
  <c r="J28" i="1"/>
  <c r="J27" i="45" s="1"/>
  <c r="K28" i="1"/>
  <c r="K27" i="50" s="1"/>
  <c r="K27" i="1"/>
  <c r="K26" i="53" s="1"/>
  <c r="I28" i="1"/>
  <c r="I27" i="54" s="1"/>
  <c r="I27" i="1"/>
  <c r="I26" i="49" s="1"/>
  <c r="H28" i="1"/>
  <c r="H27" i="59" s="1"/>
  <c r="H27" i="1"/>
  <c r="H26" i="55" s="1"/>
  <c r="G28" i="1"/>
  <c r="G27" i="54" s="1"/>
  <c r="G27" i="1"/>
  <c r="G26" i="49" s="1"/>
  <c r="K26" i="1"/>
  <c r="K25" i="56" s="1"/>
  <c r="J27" i="1"/>
  <c r="J26" i="53" s="1"/>
  <c r="J26" i="1"/>
  <c r="J25" i="53" s="1"/>
  <c r="I26" i="1"/>
  <c r="I25" i="54" s="1"/>
  <c r="H26" i="1"/>
  <c r="H25" i="53" s="1"/>
  <c r="G26" i="1"/>
  <c r="G25" i="56" s="1"/>
  <c r="D22" i="53"/>
  <c r="D23" i="53"/>
  <c r="D24" i="53"/>
  <c r="E24" i="53"/>
  <c r="F24" i="53"/>
  <c r="D25" i="53"/>
  <c r="E26" i="1"/>
  <c r="E25" i="54" s="1"/>
  <c r="F25" i="53"/>
  <c r="D26" i="53"/>
  <c r="F26" i="53"/>
  <c r="D27" i="53"/>
  <c r="F27" i="53"/>
  <c r="D28" i="53"/>
  <c r="E28" i="53"/>
  <c r="F28" i="53"/>
  <c r="D22" i="54"/>
  <c r="D23" i="54"/>
  <c r="D24" i="54"/>
  <c r="E24" i="54"/>
  <c r="F24" i="54"/>
  <c r="D25" i="54"/>
  <c r="F25" i="54"/>
  <c r="D26" i="54"/>
  <c r="F26" i="54"/>
  <c r="D27" i="54"/>
  <c r="F27" i="54"/>
  <c r="D28" i="54"/>
  <c r="E28" i="54"/>
  <c r="F28" i="54"/>
  <c r="D22" i="55"/>
  <c r="D23" i="55"/>
  <c r="D24" i="55"/>
  <c r="E24" i="55"/>
  <c r="F24" i="55"/>
  <c r="D25" i="55"/>
  <c r="F25" i="55"/>
  <c r="D26" i="55"/>
  <c r="F26" i="55"/>
  <c r="D27" i="55"/>
  <c r="F27" i="55"/>
  <c r="D28" i="55"/>
  <c r="E28" i="55"/>
  <c r="F28" i="55"/>
  <c r="D22" i="56"/>
  <c r="D23" i="56"/>
  <c r="D24" i="56"/>
  <c r="E24" i="56"/>
  <c r="F24" i="56"/>
  <c r="D25" i="56"/>
  <c r="F25" i="56"/>
  <c r="D26" i="56"/>
  <c r="F26" i="56"/>
  <c r="D27" i="56"/>
  <c r="F27" i="56"/>
  <c r="D28" i="56"/>
  <c r="E28" i="56"/>
  <c r="F28" i="56"/>
  <c r="D22" i="57"/>
  <c r="D23" i="57"/>
  <c r="D24" i="57"/>
  <c r="E24" i="57"/>
  <c r="F24" i="57"/>
  <c r="D25" i="57"/>
  <c r="F25" i="57"/>
  <c r="D26" i="57"/>
  <c r="F26" i="57"/>
  <c r="D27" i="57"/>
  <c r="F27" i="57"/>
  <c r="D28" i="57"/>
  <c r="E28" i="57"/>
  <c r="F28" i="57"/>
  <c r="D22" i="58"/>
  <c r="D23" i="58"/>
  <c r="D24" i="58"/>
  <c r="E24" i="58"/>
  <c r="F24" i="58"/>
  <c r="D25" i="58"/>
  <c r="F25" i="58"/>
  <c r="D26" i="58"/>
  <c r="F26" i="58"/>
  <c r="D27" i="58"/>
  <c r="F27" i="58"/>
  <c r="D28" i="58"/>
  <c r="E28" i="58"/>
  <c r="F28" i="58"/>
  <c r="D22" i="59"/>
  <c r="D23" i="59"/>
  <c r="D24" i="59"/>
  <c r="E24" i="59"/>
  <c r="F24" i="59"/>
  <c r="D25" i="59"/>
  <c r="F25" i="59"/>
  <c r="D26" i="59"/>
  <c r="F26" i="59"/>
  <c r="D27" i="59"/>
  <c r="F27" i="59"/>
  <c r="D28" i="59"/>
  <c r="E28" i="59"/>
  <c r="F28" i="59"/>
  <c r="D22" i="60"/>
  <c r="D23" i="60"/>
  <c r="D24" i="60"/>
  <c r="E24" i="60"/>
  <c r="F24" i="60"/>
  <c r="D25" i="60"/>
  <c r="F25" i="60"/>
  <c r="D26" i="60"/>
  <c r="F26" i="60"/>
  <c r="D27" i="60"/>
  <c r="F27" i="60"/>
  <c r="D28" i="60"/>
  <c r="E28" i="60"/>
  <c r="F28" i="60"/>
  <c r="D23" i="61"/>
  <c r="D24" i="61"/>
  <c r="D25" i="61"/>
  <c r="E25" i="61"/>
  <c r="F25" i="61"/>
  <c r="D26" i="61"/>
  <c r="F26" i="61"/>
  <c r="D27" i="61"/>
  <c r="F27" i="61"/>
  <c r="D28" i="61"/>
  <c r="F28" i="61"/>
  <c r="D29" i="61"/>
  <c r="E29" i="61"/>
  <c r="F29" i="61"/>
  <c r="D22" i="41"/>
  <c r="D23" i="41"/>
  <c r="D24" i="41"/>
  <c r="E24" i="41"/>
  <c r="F24" i="41"/>
  <c r="D25" i="41"/>
  <c r="F25" i="41"/>
  <c r="D26" i="41"/>
  <c r="F26" i="41"/>
  <c r="D27" i="41"/>
  <c r="F27" i="41"/>
  <c r="D28" i="41"/>
  <c r="E28" i="41"/>
  <c r="F28" i="41"/>
  <c r="D22" i="42"/>
  <c r="D23" i="42"/>
  <c r="D24" i="42"/>
  <c r="E24" i="42"/>
  <c r="F24" i="42"/>
  <c r="D25" i="42"/>
  <c r="F25" i="42"/>
  <c r="D26" i="42"/>
  <c r="F26" i="42"/>
  <c r="D27" i="42"/>
  <c r="F27" i="42"/>
  <c r="D28" i="42"/>
  <c r="E28" i="42"/>
  <c r="F28" i="42"/>
  <c r="D22" i="44"/>
  <c r="D23" i="44"/>
  <c r="D24" i="44"/>
  <c r="E24" i="44"/>
  <c r="F24" i="44"/>
  <c r="D25" i="44"/>
  <c r="F25" i="44"/>
  <c r="D26" i="44"/>
  <c r="F26" i="44"/>
  <c r="D27" i="44"/>
  <c r="F27" i="44"/>
  <c r="D28" i="44"/>
  <c r="E28" i="44"/>
  <c r="F28" i="44"/>
  <c r="D22" i="45"/>
  <c r="D23" i="45"/>
  <c r="D24" i="45"/>
  <c r="E24" i="45"/>
  <c r="F24" i="45"/>
  <c r="D25" i="45"/>
  <c r="F25" i="45"/>
  <c r="D26" i="45"/>
  <c r="F26" i="45"/>
  <c r="D27" i="45"/>
  <c r="F27" i="45"/>
  <c r="D28" i="45"/>
  <c r="E28" i="45"/>
  <c r="F28" i="45"/>
  <c r="D22" i="46"/>
  <c r="D23" i="46"/>
  <c r="D24" i="46"/>
  <c r="E24" i="46"/>
  <c r="F24" i="46"/>
  <c r="D25" i="46"/>
  <c r="F25" i="46"/>
  <c r="D26" i="46"/>
  <c r="F26" i="46"/>
  <c r="D27" i="46"/>
  <c r="F27" i="46"/>
  <c r="D28" i="46"/>
  <c r="E28" i="46"/>
  <c r="F28" i="46"/>
  <c r="D22" i="47"/>
  <c r="D23" i="47"/>
  <c r="D24" i="47"/>
  <c r="E24" i="47"/>
  <c r="F24" i="47"/>
  <c r="D25" i="47"/>
  <c r="F25" i="47"/>
  <c r="D26" i="47"/>
  <c r="F26" i="47"/>
  <c r="D27" i="47"/>
  <c r="F27" i="47"/>
  <c r="D28" i="47"/>
  <c r="E28" i="47"/>
  <c r="F28" i="47"/>
  <c r="D22" i="48"/>
  <c r="D23" i="48"/>
  <c r="D24" i="48"/>
  <c r="E24" i="48"/>
  <c r="F24" i="48"/>
  <c r="D25" i="48"/>
  <c r="F25" i="48"/>
  <c r="D26" i="48"/>
  <c r="F26" i="48"/>
  <c r="D27" i="48"/>
  <c r="F27" i="48"/>
  <c r="D28" i="48"/>
  <c r="E28" i="48"/>
  <c r="F28" i="48"/>
  <c r="D22" i="49"/>
  <c r="D23" i="49"/>
  <c r="D24" i="49"/>
  <c r="E24" i="49"/>
  <c r="F24" i="49"/>
  <c r="D25" i="49"/>
  <c r="F25" i="49"/>
  <c r="D26" i="49"/>
  <c r="F26" i="49"/>
  <c r="D27" i="49"/>
  <c r="F27" i="49"/>
  <c r="D28" i="49"/>
  <c r="E28" i="49"/>
  <c r="F28" i="49"/>
  <c r="D22" i="50"/>
  <c r="D23" i="50"/>
  <c r="D24" i="50"/>
  <c r="E24" i="50"/>
  <c r="F24" i="50"/>
  <c r="D25" i="50"/>
  <c r="F25" i="50"/>
  <c r="D26" i="50"/>
  <c r="F26" i="50"/>
  <c r="D27" i="50"/>
  <c r="F27" i="50"/>
  <c r="D28" i="50"/>
  <c r="E28" i="50"/>
  <c r="F28" i="50"/>
  <c r="D22" i="51"/>
  <c r="D23" i="51"/>
  <c r="D24" i="51"/>
  <c r="E24" i="51"/>
  <c r="F24" i="51"/>
  <c r="D25" i="51"/>
  <c r="F25" i="51"/>
  <c r="D26" i="51"/>
  <c r="F26" i="51"/>
  <c r="D27" i="51"/>
  <c r="F27" i="51"/>
  <c r="D28" i="51"/>
  <c r="E28" i="51"/>
  <c r="F28" i="51"/>
  <c r="D22" i="52"/>
  <c r="D23" i="52"/>
  <c r="D24" i="52"/>
  <c r="E24" i="52"/>
  <c r="F24" i="52"/>
  <c r="D25" i="52"/>
  <c r="F25" i="52"/>
  <c r="D26" i="52"/>
  <c r="F26" i="52"/>
  <c r="D27" i="52"/>
  <c r="F27" i="52"/>
  <c r="D28" i="52"/>
  <c r="E28" i="52"/>
  <c r="F28" i="52"/>
  <c r="I5" i="52"/>
  <c r="E93" i="52" s="1"/>
  <c r="F5" i="52"/>
  <c r="D93" i="52" s="1"/>
  <c r="D41" i="52"/>
  <c r="E94" i="52" s="1"/>
  <c r="F9" i="52"/>
  <c r="F7" i="52"/>
  <c r="F6" i="52"/>
  <c r="D42" i="52"/>
  <c r="E95" i="52" s="1"/>
  <c r="C42" i="52"/>
  <c r="D43" i="52"/>
  <c r="E96" i="52" s="1"/>
  <c r="C43" i="52"/>
  <c r="D96" i="52" s="1"/>
  <c r="D46" i="52"/>
  <c r="E98" i="52" s="1"/>
  <c r="C44" i="52"/>
  <c r="D99" i="52" s="1"/>
  <c r="D44" i="52"/>
  <c r="E99" i="52" s="1"/>
  <c r="D47" i="52"/>
  <c r="E47" i="52" s="1"/>
  <c r="F47" i="52" s="1"/>
  <c r="G47" i="52" s="1"/>
  <c r="H47" i="52" s="1"/>
  <c r="I47" i="52" s="1"/>
  <c r="D48" i="52"/>
  <c r="E48" i="52" s="1"/>
  <c r="F48" i="52" s="1"/>
  <c r="G48" i="52" s="1"/>
  <c r="H48" i="52" s="1"/>
  <c r="I48" i="52" s="1"/>
  <c r="C22" i="52"/>
  <c r="C23" i="52"/>
  <c r="C24" i="52"/>
  <c r="C28" i="52"/>
  <c r="D50" i="52"/>
  <c r="E106" i="52" s="1"/>
  <c r="C50" i="52"/>
  <c r="D106" i="52" s="1"/>
  <c r="C51" i="52"/>
  <c r="D107" i="52" s="1"/>
  <c r="D51" i="52"/>
  <c r="E107" i="52" s="1"/>
  <c r="D52" i="52"/>
  <c r="E108" i="52" s="1"/>
  <c r="C52" i="52"/>
  <c r="D108" i="52" s="1"/>
  <c r="C53" i="52"/>
  <c r="D109" i="52" s="1"/>
  <c r="D53" i="52"/>
  <c r="E109" i="52" s="1"/>
  <c r="D54" i="52"/>
  <c r="E110" i="52" s="1"/>
  <c r="C54" i="52"/>
  <c r="D110" i="52" s="1"/>
  <c r="F13" i="52"/>
  <c r="F10" i="52"/>
  <c r="F14" i="52"/>
  <c r="F15" i="52"/>
  <c r="I5" i="51"/>
  <c r="E93" i="51" s="1"/>
  <c r="F5" i="51"/>
  <c r="D93" i="51" s="1"/>
  <c r="D41" i="51"/>
  <c r="E94" i="51" s="1"/>
  <c r="F9" i="51"/>
  <c r="F7" i="51"/>
  <c r="F6" i="51"/>
  <c r="D42" i="51"/>
  <c r="E95" i="51" s="1"/>
  <c r="C42" i="51"/>
  <c r="D95" i="51" s="1"/>
  <c r="D43" i="51"/>
  <c r="E96" i="51" s="1"/>
  <c r="C43" i="51"/>
  <c r="D96" i="51" s="1"/>
  <c r="D45" i="51"/>
  <c r="F97" i="51" s="1"/>
  <c r="D46" i="51"/>
  <c r="E98" i="51" s="1"/>
  <c r="C44" i="51"/>
  <c r="D99" i="51" s="1"/>
  <c r="D44" i="51"/>
  <c r="E99" i="51" s="1"/>
  <c r="D47" i="51"/>
  <c r="E47" i="51" s="1"/>
  <c r="F47" i="51" s="1"/>
  <c r="G47" i="51" s="1"/>
  <c r="H47" i="51" s="1"/>
  <c r="I47" i="51" s="1"/>
  <c r="D48" i="51"/>
  <c r="F101" i="51" s="1"/>
  <c r="C22" i="51"/>
  <c r="C23" i="51"/>
  <c r="C24" i="51"/>
  <c r="C28" i="51"/>
  <c r="D50" i="51"/>
  <c r="E106" i="51" s="1"/>
  <c r="C50" i="51"/>
  <c r="D106" i="51" s="1"/>
  <c r="C51" i="51"/>
  <c r="D107" i="51" s="1"/>
  <c r="D51" i="51"/>
  <c r="E107" i="51" s="1"/>
  <c r="D52" i="51"/>
  <c r="E108" i="51" s="1"/>
  <c r="C52" i="51"/>
  <c r="D108" i="51" s="1"/>
  <c r="C53" i="51"/>
  <c r="D109" i="51" s="1"/>
  <c r="D53" i="51"/>
  <c r="E109" i="51" s="1"/>
  <c r="D54" i="51"/>
  <c r="E110" i="51" s="1"/>
  <c r="C54" i="51"/>
  <c r="D110" i="51" s="1"/>
  <c r="F13" i="51"/>
  <c r="F10" i="51"/>
  <c r="F14" i="51"/>
  <c r="F15" i="51"/>
  <c r="C27" i="52"/>
  <c r="C26" i="52"/>
  <c r="C25" i="52"/>
  <c r="C61" i="52"/>
  <c r="F50" i="52"/>
  <c r="F52" i="52"/>
  <c r="G52" i="52" s="1"/>
  <c r="H52" i="52" s="1"/>
  <c r="I52" i="52" s="1"/>
  <c r="G50" i="52"/>
  <c r="H50" i="52" s="1"/>
  <c r="I50" i="52" s="1"/>
  <c r="I6" i="52"/>
  <c r="I5" i="50"/>
  <c r="E93" i="50" s="1"/>
  <c r="F5" i="50"/>
  <c r="D93" i="50" s="1"/>
  <c r="D41" i="50"/>
  <c r="E94" i="50" s="1"/>
  <c r="F9" i="50"/>
  <c r="F7" i="50"/>
  <c r="F6" i="50"/>
  <c r="D42" i="50"/>
  <c r="E95" i="50" s="1"/>
  <c r="C42" i="50"/>
  <c r="D95" i="50" s="1"/>
  <c r="D43" i="50"/>
  <c r="E96" i="50" s="1"/>
  <c r="C43" i="50"/>
  <c r="D96" i="50" s="1"/>
  <c r="D45" i="50"/>
  <c r="F97" i="50" s="1"/>
  <c r="D46" i="50"/>
  <c r="E98" i="50" s="1"/>
  <c r="C44" i="50"/>
  <c r="D99" i="50" s="1"/>
  <c r="D44" i="50"/>
  <c r="E99" i="50" s="1"/>
  <c r="D47" i="50"/>
  <c r="F100" i="50" s="1"/>
  <c r="D48" i="50"/>
  <c r="E48" i="50" s="1"/>
  <c r="F48" i="50" s="1"/>
  <c r="G48" i="50" s="1"/>
  <c r="H48" i="50" s="1"/>
  <c r="I48" i="50" s="1"/>
  <c r="C22" i="50"/>
  <c r="C23" i="50"/>
  <c r="C24" i="50"/>
  <c r="C28" i="50"/>
  <c r="D50" i="50"/>
  <c r="E106" i="50" s="1"/>
  <c r="C50" i="50"/>
  <c r="D106" i="50" s="1"/>
  <c r="C51" i="50"/>
  <c r="D107" i="50" s="1"/>
  <c r="D51" i="50"/>
  <c r="E107" i="50" s="1"/>
  <c r="D52" i="50"/>
  <c r="E108" i="50" s="1"/>
  <c r="C52" i="50"/>
  <c r="D108" i="50" s="1"/>
  <c r="C53" i="50"/>
  <c r="D109" i="50" s="1"/>
  <c r="D53" i="50"/>
  <c r="E109" i="50" s="1"/>
  <c r="D54" i="50"/>
  <c r="E110" i="50" s="1"/>
  <c r="C54" i="50"/>
  <c r="D110" i="50" s="1"/>
  <c r="F13" i="50"/>
  <c r="F10" i="50"/>
  <c r="F14" i="50"/>
  <c r="F15" i="50"/>
  <c r="C27" i="51"/>
  <c r="C26" i="51"/>
  <c r="C25" i="51"/>
  <c r="C61" i="51"/>
  <c r="F50" i="51"/>
  <c r="G50" i="51" s="1"/>
  <c r="H50" i="51" s="1"/>
  <c r="I50" i="51" s="1"/>
  <c r="F52" i="51"/>
  <c r="G52" i="51" s="1"/>
  <c r="H52" i="51" s="1"/>
  <c r="I52" i="51"/>
  <c r="I6" i="51"/>
  <c r="I5" i="49"/>
  <c r="E93" i="49" s="1"/>
  <c r="F5" i="49"/>
  <c r="D93" i="49" s="1"/>
  <c r="D41" i="49"/>
  <c r="E94" i="49" s="1"/>
  <c r="F9" i="49"/>
  <c r="F7" i="49"/>
  <c r="F6" i="49"/>
  <c r="D42" i="49"/>
  <c r="C42" i="49"/>
  <c r="D95" i="49" s="1"/>
  <c r="D43" i="49"/>
  <c r="E96" i="49" s="1"/>
  <c r="C43" i="49"/>
  <c r="D96" i="49" s="1"/>
  <c r="D46" i="49"/>
  <c r="E98" i="49" s="1"/>
  <c r="C44" i="49"/>
  <c r="D44" i="49"/>
  <c r="E99" i="49" s="1"/>
  <c r="D47" i="49"/>
  <c r="D48" i="49"/>
  <c r="F101" i="49" s="1"/>
  <c r="C22" i="49"/>
  <c r="C23" i="49"/>
  <c r="C24" i="49"/>
  <c r="C28" i="49"/>
  <c r="D50" i="49"/>
  <c r="E106" i="49" s="1"/>
  <c r="C50" i="49"/>
  <c r="D106" i="49" s="1"/>
  <c r="C51" i="49"/>
  <c r="D107" i="49" s="1"/>
  <c r="D51" i="49"/>
  <c r="E107" i="49" s="1"/>
  <c r="D52" i="49"/>
  <c r="E108" i="49" s="1"/>
  <c r="C52" i="49"/>
  <c r="D108" i="49" s="1"/>
  <c r="C53" i="49"/>
  <c r="D109" i="49" s="1"/>
  <c r="D53" i="49"/>
  <c r="E109" i="49" s="1"/>
  <c r="D54" i="49"/>
  <c r="E110" i="49" s="1"/>
  <c r="C54" i="49"/>
  <c r="D110" i="49" s="1"/>
  <c r="F10" i="49"/>
  <c r="I7" i="49"/>
  <c r="E86" i="49" s="1"/>
  <c r="F13" i="49"/>
  <c r="F14" i="49"/>
  <c r="F15" i="49"/>
  <c r="C27" i="50"/>
  <c r="C26" i="50"/>
  <c r="C25" i="50"/>
  <c r="C61" i="50"/>
  <c r="F50" i="50"/>
  <c r="F52" i="50"/>
  <c r="G50" i="50"/>
  <c r="G52" i="50"/>
  <c r="H52" i="50" s="1"/>
  <c r="I52" i="50" s="1"/>
  <c r="H50" i="50"/>
  <c r="I50" i="50" s="1"/>
  <c r="I6" i="50"/>
  <c r="I5" i="48"/>
  <c r="E93" i="48" s="1"/>
  <c r="F5" i="48"/>
  <c r="C40" i="48" s="1"/>
  <c r="D41" i="48"/>
  <c r="E94" i="48" s="1"/>
  <c r="F9" i="48"/>
  <c r="F7" i="48"/>
  <c r="F6" i="48"/>
  <c r="D42" i="48"/>
  <c r="C42" i="48"/>
  <c r="D95" i="48" s="1"/>
  <c r="D43" i="48"/>
  <c r="C43" i="48"/>
  <c r="D96" i="48" s="1"/>
  <c r="D45" i="48"/>
  <c r="D46" i="48"/>
  <c r="E98" i="48" s="1"/>
  <c r="C44" i="48"/>
  <c r="D44" i="48"/>
  <c r="E99" i="48" s="1"/>
  <c r="D47" i="48"/>
  <c r="F100" i="48" s="1"/>
  <c r="D48" i="48"/>
  <c r="F101" i="48" s="1"/>
  <c r="C22" i="48"/>
  <c r="C23" i="48"/>
  <c r="C24" i="48"/>
  <c r="C28" i="48"/>
  <c r="D50" i="48"/>
  <c r="E106" i="48" s="1"/>
  <c r="C50" i="48"/>
  <c r="D106" i="48" s="1"/>
  <c r="C51" i="48"/>
  <c r="D107" i="48" s="1"/>
  <c r="D51" i="48"/>
  <c r="E107" i="48" s="1"/>
  <c r="D52" i="48"/>
  <c r="E108" i="48" s="1"/>
  <c r="C52" i="48"/>
  <c r="D108" i="48" s="1"/>
  <c r="C53" i="48"/>
  <c r="D109" i="48" s="1"/>
  <c r="D53" i="48"/>
  <c r="E109" i="48" s="1"/>
  <c r="D54" i="48"/>
  <c r="E110" i="48" s="1"/>
  <c r="C54" i="48"/>
  <c r="D110" i="48" s="1"/>
  <c r="F13" i="48"/>
  <c r="F10" i="48"/>
  <c r="F14" i="48"/>
  <c r="F15" i="48"/>
  <c r="C27" i="49"/>
  <c r="C26" i="49"/>
  <c r="C25" i="49"/>
  <c r="C61" i="49"/>
  <c r="F50" i="49"/>
  <c r="G50" i="49" s="1"/>
  <c r="H50" i="49" s="1"/>
  <c r="I50" i="49" s="1"/>
  <c r="F52" i="49"/>
  <c r="G52" i="49" s="1"/>
  <c r="H52" i="49" s="1"/>
  <c r="I52" i="49" s="1"/>
  <c r="I6" i="49"/>
  <c r="I5" i="47"/>
  <c r="E93" i="47" s="1"/>
  <c r="F5" i="47"/>
  <c r="C40" i="47" s="1"/>
  <c r="D41" i="47"/>
  <c r="E94" i="47" s="1"/>
  <c r="F9" i="47"/>
  <c r="F7" i="47"/>
  <c r="F6" i="47"/>
  <c r="D42" i="47"/>
  <c r="E95" i="47" s="1"/>
  <c r="C42" i="47"/>
  <c r="D95" i="47" s="1"/>
  <c r="D43" i="47"/>
  <c r="E96" i="47" s="1"/>
  <c r="C43" i="47"/>
  <c r="D96" i="47" s="1"/>
  <c r="D45" i="47"/>
  <c r="F97" i="47" s="1"/>
  <c r="D46" i="47"/>
  <c r="E98" i="47" s="1"/>
  <c r="C44" i="47"/>
  <c r="D44" i="47"/>
  <c r="E99" i="47" s="1"/>
  <c r="D47" i="47"/>
  <c r="F100" i="47" s="1"/>
  <c r="D48" i="47"/>
  <c r="E48" i="47" s="1"/>
  <c r="F48" i="47" s="1"/>
  <c r="G48" i="47" s="1"/>
  <c r="H48" i="47" s="1"/>
  <c r="I48" i="47" s="1"/>
  <c r="C22" i="47"/>
  <c r="C23" i="47"/>
  <c r="C24" i="47"/>
  <c r="C28" i="47"/>
  <c r="D50" i="47"/>
  <c r="E106" i="47" s="1"/>
  <c r="C50" i="47"/>
  <c r="D106" i="47" s="1"/>
  <c r="C51" i="47"/>
  <c r="D107" i="47" s="1"/>
  <c r="D51" i="47"/>
  <c r="E107" i="47" s="1"/>
  <c r="D52" i="47"/>
  <c r="E108" i="47" s="1"/>
  <c r="C52" i="47"/>
  <c r="D108" i="47" s="1"/>
  <c r="C53" i="47"/>
  <c r="D109" i="47" s="1"/>
  <c r="D53" i="47"/>
  <c r="E109" i="47" s="1"/>
  <c r="D54" i="47"/>
  <c r="E110" i="47" s="1"/>
  <c r="C54" i="47"/>
  <c r="D110" i="47" s="1"/>
  <c r="F13" i="47"/>
  <c r="F10" i="47"/>
  <c r="F14" i="47"/>
  <c r="F15" i="47"/>
  <c r="C27" i="48"/>
  <c r="C26" i="48"/>
  <c r="C25" i="48"/>
  <c r="C61" i="48"/>
  <c r="F50" i="48"/>
  <c r="G50" i="48" s="1"/>
  <c r="H50" i="48" s="1"/>
  <c r="I50" i="48" s="1"/>
  <c r="F52" i="48"/>
  <c r="G52" i="48" s="1"/>
  <c r="H52" i="48" s="1"/>
  <c r="I52" i="48" s="1"/>
  <c r="I6" i="48"/>
  <c r="I5" i="46"/>
  <c r="E93" i="46" s="1"/>
  <c r="F5" i="46"/>
  <c r="C40" i="46" s="1"/>
  <c r="D41" i="46"/>
  <c r="E94" i="46" s="1"/>
  <c r="F9" i="46"/>
  <c r="F7" i="46"/>
  <c r="F6" i="46"/>
  <c r="D42" i="46"/>
  <c r="E95" i="46" s="1"/>
  <c r="C42" i="46"/>
  <c r="D43" i="46"/>
  <c r="E96" i="46" s="1"/>
  <c r="C43" i="46"/>
  <c r="D96" i="46" s="1"/>
  <c r="D45" i="46"/>
  <c r="E45" i="46" s="1"/>
  <c r="F45" i="46" s="1"/>
  <c r="G45" i="46" s="1"/>
  <c r="H45" i="46" s="1"/>
  <c r="I45" i="46" s="1"/>
  <c r="D46" i="46"/>
  <c r="E98" i="46" s="1"/>
  <c r="C44" i="46"/>
  <c r="D99" i="46" s="1"/>
  <c r="D44" i="46"/>
  <c r="E99" i="46" s="1"/>
  <c r="D47" i="46"/>
  <c r="E47" i="46" s="1"/>
  <c r="F47" i="46" s="1"/>
  <c r="G47" i="46" s="1"/>
  <c r="H47" i="46" s="1"/>
  <c r="I47" i="46" s="1"/>
  <c r="D48" i="46"/>
  <c r="F101" i="46" s="1"/>
  <c r="C22" i="46"/>
  <c r="C23" i="46"/>
  <c r="C24" i="46"/>
  <c r="C28" i="46"/>
  <c r="D50" i="46"/>
  <c r="E106" i="46" s="1"/>
  <c r="C50" i="46"/>
  <c r="D106" i="46" s="1"/>
  <c r="C51" i="46"/>
  <c r="D107" i="46" s="1"/>
  <c r="D51" i="46"/>
  <c r="E107" i="46" s="1"/>
  <c r="D52" i="46"/>
  <c r="E108" i="46" s="1"/>
  <c r="C52" i="46"/>
  <c r="D108" i="46" s="1"/>
  <c r="C53" i="46"/>
  <c r="D109" i="46" s="1"/>
  <c r="D53" i="46"/>
  <c r="E109" i="46" s="1"/>
  <c r="D54" i="46"/>
  <c r="E110" i="46" s="1"/>
  <c r="C54" i="46"/>
  <c r="D110" i="46" s="1"/>
  <c r="F13" i="46"/>
  <c r="F10" i="46"/>
  <c r="F14" i="46"/>
  <c r="F15" i="46"/>
  <c r="C27" i="47"/>
  <c r="C26" i="47"/>
  <c r="C25" i="47"/>
  <c r="C61" i="47"/>
  <c r="F50" i="47"/>
  <c r="G50" i="47" s="1"/>
  <c r="H50" i="47" s="1"/>
  <c r="I50" i="47" s="1"/>
  <c r="F52" i="47"/>
  <c r="G52" i="47" s="1"/>
  <c r="H52" i="47" s="1"/>
  <c r="I52" i="47" s="1"/>
  <c r="I6" i="47"/>
  <c r="I5" i="45"/>
  <c r="E93" i="45" s="1"/>
  <c r="F5" i="45"/>
  <c r="D93" i="45" s="1"/>
  <c r="D41" i="45"/>
  <c r="E94" i="45" s="1"/>
  <c r="F9" i="45"/>
  <c r="F7" i="45"/>
  <c r="F6" i="45"/>
  <c r="D42" i="45"/>
  <c r="C42" i="45"/>
  <c r="D95" i="45" s="1"/>
  <c r="D43" i="45"/>
  <c r="E96" i="45" s="1"/>
  <c r="C43" i="45"/>
  <c r="D45" i="45"/>
  <c r="F97" i="45" s="1"/>
  <c r="D46" i="45"/>
  <c r="E98" i="45" s="1"/>
  <c r="C44" i="45"/>
  <c r="D99" i="45" s="1"/>
  <c r="D44" i="45"/>
  <c r="E99" i="45" s="1"/>
  <c r="D47" i="45"/>
  <c r="D48" i="45"/>
  <c r="F101" i="45" s="1"/>
  <c r="C22" i="45"/>
  <c r="C23" i="45"/>
  <c r="C24" i="45"/>
  <c r="C28" i="45"/>
  <c r="D50" i="45"/>
  <c r="E106" i="45" s="1"/>
  <c r="C50" i="45"/>
  <c r="D106" i="45" s="1"/>
  <c r="C51" i="45"/>
  <c r="D107" i="45" s="1"/>
  <c r="D51" i="45"/>
  <c r="E107" i="45" s="1"/>
  <c r="D52" i="45"/>
  <c r="E108" i="45" s="1"/>
  <c r="C52" i="45"/>
  <c r="D108" i="45" s="1"/>
  <c r="C53" i="45"/>
  <c r="D109" i="45" s="1"/>
  <c r="D53" i="45"/>
  <c r="E109" i="45" s="1"/>
  <c r="D54" i="45"/>
  <c r="E110" i="45" s="1"/>
  <c r="C54" i="45"/>
  <c r="D110" i="45" s="1"/>
  <c r="F10" i="45"/>
  <c r="F13" i="45"/>
  <c r="F14" i="45"/>
  <c r="F15" i="45"/>
  <c r="C27" i="46"/>
  <c r="C26" i="46"/>
  <c r="C25" i="46"/>
  <c r="C61" i="46"/>
  <c r="F50" i="46"/>
  <c r="G50" i="46" s="1"/>
  <c r="H50" i="46" s="1"/>
  <c r="F52" i="46"/>
  <c r="G52" i="46"/>
  <c r="H52" i="46"/>
  <c r="I52" i="46" s="1"/>
  <c r="I50" i="46"/>
  <c r="I6" i="46"/>
  <c r="I5" i="41"/>
  <c r="E93" i="41" s="1"/>
  <c r="F5" i="41"/>
  <c r="C40" i="41" s="1"/>
  <c r="D41" i="41"/>
  <c r="E94" i="41" s="1"/>
  <c r="F9" i="41"/>
  <c r="F7" i="41"/>
  <c r="F6" i="41"/>
  <c r="D42" i="41"/>
  <c r="E95" i="41" s="1"/>
  <c r="C42" i="41"/>
  <c r="D95" i="41" s="1"/>
  <c r="D43" i="41"/>
  <c r="E96" i="41" s="1"/>
  <c r="C43" i="41"/>
  <c r="D96" i="41" s="1"/>
  <c r="D45" i="41"/>
  <c r="F97" i="41" s="1"/>
  <c r="D46" i="41"/>
  <c r="E98" i="41" s="1"/>
  <c r="C44" i="41"/>
  <c r="D44" i="41"/>
  <c r="E99" i="41" s="1"/>
  <c r="D47" i="41"/>
  <c r="F100" i="41" s="1"/>
  <c r="D48" i="41"/>
  <c r="F101" i="41" s="1"/>
  <c r="C22" i="41"/>
  <c r="C23" i="41"/>
  <c r="C24" i="41"/>
  <c r="C28" i="41"/>
  <c r="D50" i="41"/>
  <c r="E106" i="41" s="1"/>
  <c r="C50" i="41"/>
  <c r="D106" i="41" s="1"/>
  <c r="C51" i="41"/>
  <c r="D107" i="41" s="1"/>
  <c r="D51" i="41"/>
  <c r="E107" i="41" s="1"/>
  <c r="D52" i="41"/>
  <c r="E108" i="41" s="1"/>
  <c r="C52" i="41"/>
  <c r="D108" i="41" s="1"/>
  <c r="C53" i="41"/>
  <c r="D109" i="41" s="1"/>
  <c r="D53" i="41"/>
  <c r="E109" i="41" s="1"/>
  <c r="D54" i="41"/>
  <c r="E110" i="41" s="1"/>
  <c r="C54" i="41"/>
  <c r="D110" i="41" s="1"/>
  <c r="F13" i="41"/>
  <c r="F10" i="41"/>
  <c r="F14" i="41"/>
  <c r="F15" i="41"/>
  <c r="I5" i="44"/>
  <c r="E93" i="44" s="1"/>
  <c r="F5" i="44"/>
  <c r="D93" i="44" s="1"/>
  <c r="D41" i="44"/>
  <c r="E94" i="44" s="1"/>
  <c r="F9" i="44"/>
  <c r="F7" i="44"/>
  <c r="F6" i="44"/>
  <c r="D42" i="44"/>
  <c r="E95" i="44" s="1"/>
  <c r="C42" i="44"/>
  <c r="D95" i="44" s="1"/>
  <c r="D43" i="44"/>
  <c r="E96" i="44" s="1"/>
  <c r="C43" i="44"/>
  <c r="D96" i="44" s="1"/>
  <c r="D45" i="44"/>
  <c r="F97" i="44" s="1"/>
  <c r="D46" i="44"/>
  <c r="E98" i="44" s="1"/>
  <c r="C44" i="44"/>
  <c r="D99" i="44" s="1"/>
  <c r="D44" i="44"/>
  <c r="E99" i="44" s="1"/>
  <c r="D47" i="44"/>
  <c r="E47" i="44" s="1"/>
  <c r="F47" i="44" s="1"/>
  <c r="G47" i="44" s="1"/>
  <c r="H47" i="44" s="1"/>
  <c r="I47" i="44" s="1"/>
  <c r="D48" i="44"/>
  <c r="F101" i="44" s="1"/>
  <c r="C22" i="44"/>
  <c r="C23" i="44"/>
  <c r="C24" i="44"/>
  <c r="C28" i="44"/>
  <c r="D50" i="44"/>
  <c r="E106" i="44" s="1"/>
  <c r="C50" i="44"/>
  <c r="D106" i="44" s="1"/>
  <c r="C51" i="44"/>
  <c r="D107" i="44" s="1"/>
  <c r="D51" i="44"/>
  <c r="E107" i="44" s="1"/>
  <c r="D52" i="44"/>
  <c r="E108" i="44" s="1"/>
  <c r="C52" i="44"/>
  <c r="D108" i="44" s="1"/>
  <c r="C53" i="44"/>
  <c r="D109" i="44" s="1"/>
  <c r="D53" i="44"/>
  <c r="E109" i="44" s="1"/>
  <c r="D54" i="44"/>
  <c r="E110" i="44" s="1"/>
  <c r="C54" i="44"/>
  <c r="D110" i="44" s="1"/>
  <c r="F13" i="44"/>
  <c r="F10" i="44"/>
  <c r="F14" i="44"/>
  <c r="F15" i="44"/>
  <c r="C27" i="45"/>
  <c r="C26" i="45"/>
  <c r="C25" i="45"/>
  <c r="C61" i="45"/>
  <c r="F50" i="45"/>
  <c r="G50" i="45" s="1"/>
  <c r="H50" i="45" s="1"/>
  <c r="I50" i="45" s="1"/>
  <c r="F52" i="45"/>
  <c r="G52" i="45" s="1"/>
  <c r="H52" i="45"/>
  <c r="I52" i="45" s="1"/>
  <c r="I6" i="45"/>
  <c r="I5" i="42"/>
  <c r="E93" i="42" s="1"/>
  <c r="F5" i="42"/>
  <c r="D93" i="42" s="1"/>
  <c r="D41" i="42"/>
  <c r="E94" i="42" s="1"/>
  <c r="F9" i="42"/>
  <c r="F7" i="42"/>
  <c r="F6" i="42"/>
  <c r="D42" i="42"/>
  <c r="E95" i="42" s="1"/>
  <c r="C42" i="42"/>
  <c r="D43" i="42"/>
  <c r="E96" i="42" s="1"/>
  <c r="C43" i="42"/>
  <c r="D45" i="42"/>
  <c r="F97" i="42" s="1"/>
  <c r="D46" i="42"/>
  <c r="E98" i="42" s="1"/>
  <c r="C44" i="42"/>
  <c r="D99" i="42" s="1"/>
  <c r="D44" i="42"/>
  <c r="E99" i="42" s="1"/>
  <c r="D47" i="42"/>
  <c r="F100" i="42" s="1"/>
  <c r="D48" i="42"/>
  <c r="E48" i="42" s="1"/>
  <c r="F48" i="42" s="1"/>
  <c r="G48" i="42" s="1"/>
  <c r="H48" i="42" s="1"/>
  <c r="I48" i="42" s="1"/>
  <c r="C22" i="42"/>
  <c r="C23" i="42"/>
  <c r="C24" i="42"/>
  <c r="C28" i="42"/>
  <c r="D50" i="42"/>
  <c r="E106" i="42" s="1"/>
  <c r="C50" i="42"/>
  <c r="D106" i="42" s="1"/>
  <c r="C51" i="42"/>
  <c r="D107" i="42" s="1"/>
  <c r="D51" i="42"/>
  <c r="E107" i="42" s="1"/>
  <c r="D52" i="42"/>
  <c r="E108" i="42" s="1"/>
  <c r="C52" i="42"/>
  <c r="D108" i="42" s="1"/>
  <c r="C53" i="42"/>
  <c r="D109" i="42" s="1"/>
  <c r="D53" i="42"/>
  <c r="E109" i="42" s="1"/>
  <c r="D54" i="42"/>
  <c r="E110" i="42" s="1"/>
  <c r="C54" i="42"/>
  <c r="D110" i="42" s="1"/>
  <c r="F10" i="42"/>
  <c r="F13" i="42"/>
  <c r="F14" i="42"/>
  <c r="F15" i="42"/>
  <c r="C27" i="44"/>
  <c r="C26" i="44"/>
  <c r="C25" i="44"/>
  <c r="C61" i="44"/>
  <c r="F50" i="44"/>
  <c r="F52" i="44"/>
  <c r="G50" i="44"/>
  <c r="H50" i="44" s="1"/>
  <c r="I50" i="44" s="1"/>
  <c r="G52" i="44"/>
  <c r="H52" i="44" s="1"/>
  <c r="I52" i="44" s="1"/>
  <c r="I6" i="44"/>
  <c r="C27" i="42"/>
  <c r="C26" i="42"/>
  <c r="C25" i="42"/>
  <c r="C61" i="42"/>
  <c r="F50" i="42"/>
  <c r="G50" i="42" s="1"/>
  <c r="F52" i="42"/>
  <c r="G52" i="42" s="1"/>
  <c r="H50" i="42"/>
  <c r="I50" i="42" s="1"/>
  <c r="H52" i="42"/>
  <c r="I52" i="42" s="1"/>
  <c r="I6" i="42"/>
  <c r="I7" i="53"/>
  <c r="E86" i="53" s="1"/>
  <c r="F5" i="53"/>
  <c r="D93" i="53" s="1"/>
  <c r="F9" i="53"/>
  <c r="F10" i="53"/>
  <c r="I8" i="53"/>
  <c r="E87" i="53" s="1"/>
  <c r="I9" i="53"/>
  <c r="E88" i="53" s="1"/>
  <c r="C27" i="41"/>
  <c r="C26" i="41"/>
  <c r="C25" i="41"/>
  <c r="C61" i="41"/>
  <c r="F50" i="41"/>
  <c r="G50" i="41" s="1"/>
  <c r="F52" i="41"/>
  <c r="G52" i="41"/>
  <c r="H52" i="41" s="1"/>
  <c r="I52" i="41" s="1"/>
  <c r="H50" i="41"/>
  <c r="I50" i="41" s="1"/>
  <c r="I6" i="41"/>
  <c r="I5" i="53"/>
  <c r="D41" i="53"/>
  <c r="E94" i="53" s="1"/>
  <c r="F7" i="53"/>
  <c r="F6" i="53"/>
  <c r="D42" i="53"/>
  <c r="E95" i="53" s="1"/>
  <c r="C42" i="53"/>
  <c r="D95" i="53" s="1"/>
  <c r="D43" i="53"/>
  <c r="E96" i="53" s="1"/>
  <c r="C43" i="53"/>
  <c r="D45" i="53"/>
  <c r="F97" i="53" s="1"/>
  <c r="D46" i="53"/>
  <c r="E98" i="53" s="1"/>
  <c r="C44" i="53"/>
  <c r="D99" i="53" s="1"/>
  <c r="D44" i="53"/>
  <c r="E99" i="53" s="1"/>
  <c r="D47" i="53"/>
  <c r="F100" i="53" s="1"/>
  <c r="D48" i="53"/>
  <c r="E48" i="53" s="1"/>
  <c r="F48" i="53" s="1"/>
  <c r="G48" i="53" s="1"/>
  <c r="H48" i="53" s="1"/>
  <c r="I48" i="53" s="1"/>
  <c r="C22" i="53"/>
  <c r="C23" i="53"/>
  <c r="C24" i="53"/>
  <c r="C28" i="53"/>
  <c r="D50" i="53"/>
  <c r="E106" i="53" s="1"/>
  <c r="F106" i="53" s="1"/>
  <c r="C50" i="53"/>
  <c r="D106" i="53" s="1"/>
  <c r="C51" i="53"/>
  <c r="D107" i="53" s="1"/>
  <c r="D51" i="53"/>
  <c r="E107" i="53" s="1"/>
  <c r="D52" i="53"/>
  <c r="E108" i="53" s="1"/>
  <c r="C52" i="53"/>
  <c r="D108" i="53" s="1"/>
  <c r="C53" i="53"/>
  <c r="D109" i="53" s="1"/>
  <c r="D53" i="53"/>
  <c r="E109" i="53" s="1"/>
  <c r="D54" i="53"/>
  <c r="E110" i="53" s="1"/>
  <c r="C54" i="53"/>
  <c r="D110" i="53" s="1"/>
  <c r="C27" i="53"/>
  <c r="C26" i="53"/>
  <c r="C25" i="53"/>
  <c r="C61" i="53"/>
  <c r="F50" i="53"/>
  <c r="G50" i="53" s="1"/>
  <c r="H50" i="53" s="1"/>
  <c r="I50" i="53" s="1"/>
  <c r="F52" i="53"/>
  <c r="G52" i="53"/>
  <c r="H52" i="53" s="1"/>
  <c r="I52" i="53" s="1"/>
  <c r="I6" i="53"/>
  <c r="I5" i="54"/>
  <c r="E93" i="54" s="1"/>
  <c r="F5" i="54"/>
  <c r="D93" i="54" s="1"/>
  <c r="D41" i="54"/>
  <c r="E94" i="54" s="1"/>
  <c r="F9" i="54"/>
  <c r="F7" i="54"/>
  <c r="F6" i="54"/>
  <c r="D42" i="54"/>
  <c r="E95" i="54" s="1"/>
  <c r="C42" i="54"/>
  <c r="D43" i="54"/>
  <c r="E96" i="54" s="1"/>
  <c r="C43" i="54"/>
  <c r="D96" i="54" s="1"/>
  <c r="D45" i="54"/>
  <c r="F97" i="54" s="1"/>
  <c r="D46" i="54"/>
  <c r="E98" i="54" s="1"/>
  <c r="C44" i="54"/>
  <c r="D99" i="54" s="1"/>
  <c r="D44" i="54"/>
  <c r="E99" i="54" s="1"/>
  <c r="D47" i="54"/>
  <c r="D48" i="54"/>
  <c r="F101" i="54" s="1"/>
  <c r="C22" i="54"/>
  <c r="C23" i="54"/>
  <c r="C24" i="54"/>
  <c r="C28" i="54"/>
  <c r="D50" i="54"/>
  <c r="E106" i="54" s="1"/>
  <c r="C50" i="54"/>
  <c r="D106" i="54" s="1"/>
  <c r="C51" i="54"/>
  <c r="D107" i="54" s="1"/>
  <c r="D51" i="54"/>
  <c r="E107" i="54" s="1"/>
  <c r="D52" i="54"/>
  <c r="E108" i="54" s="1"/>
  <c r="C52" i="54"/>
  <c r="D108" i="54" s="1"/>
  <c r="C53" i="54"/>
  <c r="D109" i="54" s="1"/>
  <c r="D53" i="54"/>
  <c r="E109" i="54" s="1"/>
  <c r="D54" i="54"/>
  <c r="E110" i="54" s="1"/>
  <c r="C54" i="54"/>
  <c r="D110" i="54" s="1"/>
  <c r="I7" i="54"/>
  <c r="E86" i="54" s="1"/>
  <c r="F10" i="54"/>
  <c r="I8" i="54"/>
  <c r="E87" i="54" s="1"/>
  <c r="I9" i="54"/>
  <c r="E88" i="54" s="1"/>
  <c r="I5" i="55"/>
  <c r="E93" i="55" s="1"/>
  <c r="F5" i="55"/>
  <c r="D93" i="55" s="1"/>
  <c r="D41" i="55"/>
  <c r="E94" i="55" s="1"/>
  <c r="F9" i="55"/>
  <c r="F7" i="55"/>
  <c r="F6" i="55"/>
  <c r="D42" i="55"/>
  <c r="E95" i="55" s="1"/>
  <c r="C42" i="55"/>
  <c r="D95" i="55" s="1"/>
  <c r="D43" i="55"/>
  <c r="E96" i="55" s="1"/>
  <c r="C43" i="55"/>
  <c r="D96" i="55" s="1"/>
  <c r="D45" i="55"/>
  <c r="F97" i="55" s="1"/>
  <c r="D46" i="55"/>
  <c r="E98" i="55" s="1"/>
  <c r="C44" i="55"/>
  <c r="D99" i="55" s="1"/>
  <c r="D44" i="55"/>
  <c r="D47" i="55"/>
  <c r="F100" i="55" s="1"/>
  <c r="D48" i="55"/>
  <c r="F101" i="55" s="1"/>
  <c r="C22" i="55"/>
  <c r="C23" i="55"/>
  <c r="C24" i="55"/>
  <c r="C28" i="55"/>
  <c r="D50" i="55"/>
  <c r="E106" i="55" s="1"/>
  <c r="C50" i="55"/>
  <c r="D106" i="55" s="1"/>
  <c r="C51" i="55"/>
  <c r="D107" i="55" s="1"/>
  <c r="D51" i="55"/>
  <c r="E107" i="55" s="1"/>
  <c r="D52" i="55"/>
  <c r="E108" i="55" s="1"/>
  <c r="C52" i="55"/>
  <c r="D108" i="55" s="1"/>
  <c r="C53" i="55"/>
  <c r="D109" i="55" s="1"/>
  <c r="D53" i="55"/>
  <c r="E109" i="55" s="1"/>
  <c r="D54" i="55"/>
  <c r="E110" i="55" s="1"/>
  <c r="C54" i="55"/>
  <c r="D110" i="55" s="1"/>
  <c r="I7" i="55"/>
  <c r="E86" i="55" s="1"/>
  <c r="F10" i="55"/>
  <c r="I8" i="55"/>
  <c r="E87" i="55" s="1"/>
  <c r="I9" i="55"/>
  <c r="E88" i="55" s="1"/>
  <c r="C27" i="54"/>
  <c r="C26" i="54"/>
  <c r="C25" i="54"/>
  <c r="C61" i="54"/>
  <c r="F50" i="54"/>
  <c r="G50" i="54" s="1"/>
  <c r="H50" i="54" s="1"/>
  <c r="I50" i="54" s="1"/>
  <c r="F52" i="54"/>
  <c r="G52" i="54" s="1"/>
  <c r="H52" i="54" s="1"/>
  <c r="I52" i="54" s="1"/>
  <c r="I6" i="54"/>
  <c r="C27" i="55"/>
  <c r="C26" i="55"/>
  <c r="C25" i="55"/>
  <c r="C61" i="55"/>
  <c r="F50" i="55"/>
  <c r="G50" i="55" s="1"/>
  <c r="H50" i="55" s="1"/>
  <c r="I50" i="55" s="1"/>
  <c r="F52" i="55"/>
  <c r="G52" i="55" s="1"/>
  <c r="H52" i="55" s="1"/>
  <c r="I52" i="55"/>
  <c r="I6" i="55"/>
  <c r="I5" i="56"/>
  <c r="E93" i="56" s="1"/>
  <c r="F5" i="56"/>
  <c r="D41" i="56"/>
  <c r="E94" i="56" s="1"/>
  <c r="F9" i="56"/>
  <c r="F7" i="56"/>
  <c r="F6" i="56"/>
  <c r="D42" i="56"/>
  <c r="E95" i="56" s="1"/>
  <c r="C42" i="56"/>
  <c r="D95" i="56" s="1"/>
  <c r="D43" i="56"/>
  <c r="E96" i="56" s="1"/>
  <c r="F96" i="56" s="1"/>
  <c r="C43" i="56"/>
  <c r="D96" i="56" s="1"/>
  <c r="D45" i="56"/>
  <c r="F97" i="56" s="1"/>
  <c r="D46" i="56"/>
  <c r="E98" i="56" s="1"/>
  <c r="C44" i="56"/>
  <c r="D44" i="56"/>
  <c r="E99" i="56" s="1"/>
  <c r="D47" i="56"/>
  <c r="F100" i="56" s="1"/>
  <c r="D48" i="56"/>
  <c r="F101" i="56" s="1"/>
  <c r="C22" i="56"/>
  <c r="C23" i="56"/>
  <c r="C24" i="56"/>
  <c r="C28" i="56"/>
  <c r="D50" i="56"/>
  <c r="E106" i="56" s="1"/>
  <c r="C50" i="56"/>
  <c r="D106" i="56" s="1"/>
  <c r="C51" i="56"/>
  <c r="D107" i="56" s="1"/>
  <c r="D51" i="56"/>
  <c r="E107" i="56" s="1"/>
  <c r="D52" i="56"/>
  <c r="E108" i="56" s="1"/>
  <c r="C52" i="56"/>
  <c r="D108" i="56" s="1"/>
  <c r="C53" i="56"/>
  <c r="D109" i="56" s="1"/>
  <c r="D53" i="56"/>
  <c r="E109" i="56" s="1"/>
  <c r="D54" i="56"/>
  <c r="E110" i="56" s="1"/>
  <c r="C54" i="56"/>
  <c r="D110" i="56" s="1"/>
  <c r="F10" i="56"/>
  <c r="I7" i="56"/>
  <c r="E86" i="56" s="1"/>
  <c r="I8" i="56"/>
  <c r="E87" i="56" s="1"/>
  <c r="I9" i="56"/>
  <c r="E88" i="56" s="1"/>
  <c r="C27" i="56"/>
  <c r="C26" i="56"/>
  <c r="C25" i="56"/>
  <c r="C61" i="56"/>
  <c r="F50" i="56"/>
  <c r="G50" i="56" s="1"/>
  <c r="H50" i="56" s="1"/>
  <c r="F52" i="56"/>
  <c r="G52" i="56" s="1"/>
  <c r="H52" i="56" s="1"/>
  <c r="I50" i="56"/>
  <c r="I52" i="56"/>
  <c r="I6" i="56"/>
  <c r="I5" i="57"/>
  <c r="D40" i="57" s="1"/>
  <c r="F5" i="57"/>
  <c r="D41" i="57"/>
  <c r="E94" i="57" s="1"/>
  <c r="F9" i="57"/>
  <c r="F7" i="57"/>
  <c r="F6" i="57"/>
  <c r="D42" i="57"/>
  <c r="E95" i="57" s="1"/>
  <c r="C42" i="57"/>
  <c r="D43" i="57"/>
  <c r="C43" i="57"/>
  <c r="D96" i="57" s="1"/>
  <c r="D45" i="57"/>
  <c r="E45" i="57" s="1"/>
  <c r="F45" i="57" s="1"/>
  <c r="G45" i="57" s="1"/>
  <c r="H45" i="57" s="1"/>
  <c r="I45" i="57" s="1"/>
  <c r="D46" i="57"/>
  <c r="E98" i="57" s="1"/>
  <c r="C44" i="57"/>
  <c r="D99" i="57" s="1"/>
  <c r="D44" i="57"/>
  <c r="E99" i="57" s="1"/>
  <c r="D47" i="57"/>
  <c r="F100" i="57" s="1"/>
  <c r="D48" i="57"/>
  <c r="E48" i="57" s="1"/>
  <c r="F48" i="57" s="1"/>
  <c r="G48" i="57" s="1"/>
  <c r="H48" i="57" s="1"/>
  <c r="I48" i="57" s="1"/>
  <c r="C22" i="57"/>
  <c r="C23" i="57"/>
  <c r="C24" i="57"/>
  <c r="C28" i="57"/>
  <c r="D50" i="57"/>
  <c r="E106" i="57" s="1"/>
  <c r="C50" i="57"/>
  <c r="D106" i="57" s="1"/>
  <c r="C51" i="57"/>
  <c r="D107" i="57" s="1"/>
  <c r="D51" i="57"/>
  <c r="E107" i="57" s="1"/>
  <c r="D52" i="57"/>
  <c r="E108" i="57" s="1"/>
  <c r="C52" i="57"/>
  <c r="D108" i="57" s="1"/>
  <c r="C53" i="57"/>
  <c r="D109" i="57" s="1"/>
  <c r="D53" i="57"/>
  <c r="E109" i="57" s="1"/>
  <c r="D54" i="57"/>
  <c r="E110" i="57" s="1"/>
  <c r="C54" i="57"/>
  <c r="D110" i="57" s="1"/>
  <c r="F10" i="57"/>
  <c r="I7" i="57"/>
  <c r="E86" i="57" s="1"/>
  <c r="I8" i="57"/>
  <c r="E87" i="57" s="1"/>
  <c r="I9" i="57"/>
  <c r="E88" i="57" s="1"/>
  <c r="C27" i="57"/>
  <c r="C26" i="57"/>
  <c r="C25" i="57"/>
  <c r="C61" i="57"/>
  <c r="F50" i="57"/>
  <c r="G50" i="57" s="1"/>
  <c r="H50" i="57" s="1"/>
  <c r="I50" i="57" s="1"/>
  <c r="F52" i="57"/>
  <c r="G52" i="57" s="1"/>
  <c r="H52" i="57"/>
  <c r="I52" i="57" s="1"/>
  <c r="I6" i="57"/>
  <c r="I5" i="59"/>
  <c r="E93" i="59" s="1"/>
  <c r="F5" i="59"/>
  <c r="D41" i="59"/>
  <c r="E94" i="59" s="1"/>
  <c r="F9" i="59"/>
  <c r="F7" i="59"/>
  <c r="F6" i="59"/>
  <c r="D42" i="59"/>
  <c r="E95" i="59" s="1"/>
  <c r="C42" i="59"/>
  <c r="D95" i="59" s="1"/>
  <c r="D43" i="59"/>
  <c r="E96" i="59" s="1"/>
  <c r="C43" i="59"/>
  <c r="D45" i="59"/>
  <c r="F97" i="59" s="1"/>
  <c r="D46" i="59"/>
  <c r="E98" i="59" s="1"/>
  <c r="C44" i="59"/>
  <c r="D99" i="59" s="1"/>
  <c r="D44" i="59"/>
  <c r="E99" i="59" s="1"/>
  <c r="D47" i="59"/>
  <c r="F100" i="59" s="1"/>
  <c r="D48" i="59"/>
  <c r="F101" i="59" s="1"/>
  <c r="C22" i="59"/>
  <c r="C73" i="59" s="1"/>
  <c r="C23" i="59"/>
  <c r="C74" i="59" s="1"/>
  <c r="C24" i="59"/>
  <c r="C75" i="59" s="1"/>
  <c r="E75" i="59" s="1"/>
  <c r="F75" i="59" s="1"/>
  <c r="G75" i="59" s="1"/>
  <c r="H75" i="59" s="1"/>
  <c r="I75" i="59" s="1"/>
  <c r="C28" i="59"/>
  <c r="C79" i="59" s="1"/>
  <c r="E79" i="59" s="1"/>
  <c r="F79" i="59" s="1"/>
  <c r="G79" i="59" s="1"/>
  <c r="H79" i="59" s="1"/>
  <c r="I79" i="59" s="1"/>
  <c r="D50" i="59"/>
  <c r="E106" i="59" s="1"/>
  <c r="C50" i="59"/>
  <c r="D106" i="59" s="1"/>
  <c r="C51" i="59"/>
  <c r="D107" i="59" s="1"/>
  <c r="D51" i="59"/>
  <c r="E107" i="59" s="1"/>
  <c r="D52" i="59"/>
  <c r="E108" i="59" s="1"/>
  <c r="C52" i="59"/>
  <c r="D108" i="59" s="1"/>
  <c r="C53" i="59"/>
  <c r="D109" i="59" s="1"/>
  <c r="D53" i="59"/>
  <c r="E109" i="59" s="1"/>
  <c r="D54" i="59"/>
  <c r="E110" i="59" s="1"/>
  <c r="C54" i="59"/>
  <c r="D110" i="59" s="1"/>
  <c r="I5" i="58"/>
  <c r="D40" i="58" s="1"/>
  <c r="F5" i="58"/>
  <c r="D41" i="58"/>
  <c r="E94" i="58" s="1"/>
  <c r="F9" i="58"/>
  <c r="F7" i="58"/>
  <c r="F6" i="58"/>
  <c r="D42" i="58"/>
  <c r="E95" i="58" s="1"/>
  <c r="C42" i="58"/>
  <c r="D95" i="58" s="1"/>
  <c r="D43" i="58"/>
  <c r="E96" i="58" s="1"/>
  <c r="C43" i="58"/>
  <c r="D96" i="58" s="1"/>
  <c r="D45" i="58"/>
  <c r="E45" i="58" s="1"/>
  <c r="F45" i="58" s="1"/>
  <c r="G45" i="58" s="1"/>
  <c r="H45" i="58" s="1"/>
  <c r="I45" i="58" s="1"/>
  <c r="D46" i="58"/>
  <c r="E98" i="58" s="1"/>
  <c r="C44" i="58"/>
  <c r="D44" i="58"/>
  <c r="E99" i="58" s="1"/>
  <c r="D47" i="58"/>
  <c r="F100" i="58" s="1"/>
  <c r="D48" i="58"/>
  <c r="F101" i="58" s="1"/>
  <c r="C22" i="58"/>
  <c r="C73" i="58" s="1"/>
  <c r="C23" i="58"/>
  <c r="C74" i="58" s="1"/>
  <c r="C24" i="58"/>
  <c r="C75" i="58" s="1"/>
  <c r="E75" i="58" s="1"/>
  <c r="F75" i="58" s="1"/>
  <c r="G75" i="58" s="1"/>
  <c r="H75" i="58" s="1"/>
  <c r="I75" i="58" s="1"/>
  <c r="C28" i="58"/>
  <c r="C79" i="58" s="1"/>
  <c r="E79" i="58" s="1"/>
  <c r="F79" i="58" s="1"/>
  <c r="G79" i="58" s="1"/>
  <c r="H79" i="58" s="1"/>
  <c r="I79" i="58" s="1"/>
  <c r="D50" i="58"/>
  <c r="E106" i="58" s="1"/>
  <c r="C50" i="58"/>
  <c r="D106" i="58" s="1"/>
  <c r="C51" i="58"/>
  <c r="D107" i="58" s="1"/>
  <c r="D51" i="58"/>
  <c r="E107" i="58" s="1"/>
  <c r="D52" i="58"/>
  <c r="E108" i="58" s="1"/>
  <c r="C52" i="58"/>
  <c r="D108" i="58" s="1"/>
  <c r="C53" i="58"/>
  <c r="D109" i="58" s="1"/>
  <c r="D53" i="58"/>
  <c r="E109" i="58" s="1"/>
  <c r="D54" i="58"/>
  <c r="E110" i="58" s="1"/>
  <c r="C54" i="58"/>
  <c r="D110" i="58" s="1"/>
  <c r="I7" i="58"/>
  <c r="E86" i="58" s="1"/>
  <c r="F10" i="58"/>
  <c r="I8" i="58"/>
  <c r="E87" i="58" s="1"/>
  <c r="I9" i="58"/>
  <c r="E88" i="58" s="1"/>
  <c r="I7" i="59"/>
  <c r="E86" i="59" s="1"/>
  <c r="F10" i="59"/>
  <c r="I8" i="59"/>
  <c r="E87" i="59" s="1"/>
  <c r="I9" i="59"/>
  <c r="E88" i="59" s="1"/>
  <c r="C27" i="58"/>
  <c r="C78" i="58" s="1"/>
  <c r="C26" i="58"/>
  <c r="C77" i="58" s="1"/>
  <c r="C25" i="58"/>
  <c r="C76" i="58" s="1"/>
  <c r="C61" i="58"/>
  <c r="F50" i="58"/>
  <c r="G50" i="58" s="1"/>
  <c r="H50" i="58" s="1"/>
  <c r="I50" i="58" s="1"/>
  <c r="F52" i="58"/>
  <c r="G52" i="58" s="1"/>
  <c r="H52" i="58" s="1"/>
  <c r="I52" i="58" s="1"/>
  <c r="I6" i="58"/>
  <c r="C27" i="59"/>
  <c r="C78" i="59" s="1"/>
  <c r="C26" i="59"/>
  <c r="C77" i="59" s="1"/>
  <c r="C25" i="59"/>
  <c r="C76" i="59" s="1"/>
  <c r="C61" i="59"/>
  <c r="F50" i="59"/>
  <c r="F52" i="59"/>
  <c r="G50" i="59"/>
  <c r="H50" i="59" s="1"/>
  <c r="I50" i="59" s="1"/>
  <c r="G52" i="59"/>
  <c r="H52" i="59" s="1"/>
  <c r="I52" i="59" s="1"/>
  <c r="I6" i="59"/>
  <c r="C88" i="1"/>
  <c r="D89" i="1"/>
  <c r="D90" i="1"/>
  <c r="C90" i="1"/>
  <c r="D91" i="1"/>
  <c r="C91" i="1"/>
  <c r="E92" i="1"/>
  <c r="D93" i="1"/>
  <c r="C94" i="1"/>
  <c r="D94" i="1"/>
  <c r="E95" i="1"/>
  <c r="E96" i="1"/>
  <c r="D100" i="1"/>
  <c r="C100" i="1"/>
  <c r="C101" i="1"/>
  <c r="D101" i="1"/>
  <c r="D102" i="1"/>
  <c r="C102" i="1"/>
  <c r="C103" i="1"/>
  <c r="D103" i="1"/>
  <c r="D104" i="1"/>
  <c r="C104" i="1"/>
  <c r="D83" i="1"/>
  <c r="D84" i="1"/>
  <c r="D85" i="1"/>
  <c r="I7" i="60"/>
  <c r="E86" i="60" s="1"/>
  <c r="F5" i="60"/>
  <c r="D93" i="60" s="1"/>
  <c r="F9" i="60"/>
  <c r="F10" i="60"/>
  <c r="I8" i="60"/>
  <c r="E87" i="60" s="1"/>
  <c r="I9" i="60"/>
  <c r="E88" i="60" s="1"/>
  <c r="I5" i="60"/>
  <c r="E93" i="60" s="1"/>
  <c r="D41" i="60"/>
  <c r="E94" i="60" s="1"/>
  <c r="F7" i="60"/>
  <c r="F6" i="60"/>
  <c r="D42" i="60"/>
  <c r="E95" i="60" s="1"/>
  <c r="C42" i="60"/>
  <c r="D43" i="60"/>
  <c r="E96" i="60" s="1"/>
  <c r="C43" i="60"/>
  <c r="D45" i="60"/>
  <c r="F97" i="60" s="1"/>
  <c r="D46" i="60"/>
  <c r="E98" i="60" s="1"/>
  <c r="C44" i="60"/>
  <c r="D99" i="60" s="1"/>
  <c r="D44" i="60"/>
  <c r="E99" i="60" s="1"/>
  <c r="D47" i="60"/>
  <c r="E47" i="60" s="1"/>
  <c r="F47" i="60" s="1"/>
  <c r="G47" i="60" s="1"/>
  <c r="H47" i="60" s="1"/>
  <c r="I47" i="60" s="1"/>
  <c r="D48" i="60"/>
  <c r="F101" i="60" s="1"/>
  <c r="C22" i="60"/>
  <c r="C73" i="60" s="1"/>
  <c r="C23" i="60"/>
  <c r="C74" i="60" s="1"/>
  <c r="C24" i="60"/>
  <c r="C75" i="60" s="1"/>
  <c r="E75" i="60" s="1"/>
  <c r="F75" i="60" s="1"/>
  <c r="G75" i="60" s="1"/>
  <c r="H75" i="60" s="1"/>
  <c r="I75" i="60" s="1"/>
  <c r="C28" i="60"/>
  <c r="C79" i="60" s="1"/>
  <c r="E79" i="60" s="1"/>
  <c r="F79" i="60" s="1"/>
  <c r="G79" i="60" s="1"/>
  <c r="H79" i="60" s="1"/>
  <c r="I79" i="60" s="1"/>
  <c r="D50" i="60"/>
  <c r="E106" i="60" s="1"/>
  <c r="C50" i="60"/>
  <c r="D106" i="60" s="1"/>
  <c r="C51" i="60"/>
  <c r="D107" i="60" s="1"/>
  <c r="D51" i="60"/>
  <c r="E107" i="60" s="1"/>
  <c r="D52" i="60"/>
  <c r="E108" i="60" s="1"/>
  <c r="C52" i="60"/>
  <c r="D108" i="60" s="1"/>
  <c r="C53" i="60"/>
  <c r="D109" i="60" s="1"/>
  <c r="D53" i="60"/>
  <c r="E109" i="60" s="1"/>
  <c r="D54" i="60"/>
  <c r="E110" i="60" s="1"/>
  <c r="C54" i="60"/>
  <c r="D110" i="60" s="1"/>
  <c r="I6" i="61"/>
  <c r="E94" i="61" s="1"/>
  <c r="F6" i="61"/>
  <c r="D94" i="61" s="1"/>
  <c r="D42" i="61"/>
  <c r="E95" i="61" s="1"/>
  <c r="F10" i="61"/>
  <c r="F8" i="61"/>
  <c r="F7" i="61"/>
  <c r="D43" i="61"/>
  <c r="E96" i="61" s="1"/>
  <c r="C43" i="61"/>
  <c r="D96" i="61" s="1"/>
  <c r="D44" i="61"/>
  <c r="E97" i="61" s="1"/>
  <c r="C44" i="61"/>
  <c r="D97" i="61" s="1"/>
  <c r="D46" i="61"/>
  <c r="F98" i="61" s="1"/>
  <c r="D47" i="61"/>
  <c r="E99" i="61" s="1"/>
  <c r="C45" i="61"/>
  <c r="D100" i="61" s="1"/>
  <c r="D45" i="61"/>
  <c r="E100" i="61" s="1"/>
  <c r="D48" i="61"/>
  <c r="F101" i="61" s="1"/>
  <c r="D49" i="61"/>
  <c r="F102" i="61" s="1"/>
  <c r="D51" i="61"/>
  <c r="E107" i="61" s="1"/>
  <c r="C51" i="61"/>
  <c r="D107" i="61" s="1"/>
  <c r="C52" i="61"/>
  <c r="D108" i="61" s="1"/>
  <c r="D52" i="61"/>
  <c r="E108" i="61" s="1"/>
  <c r="D53" i="61"/>
  <c r="E109" i="61" s="1"/>
  <c r="C53" i="61"/>
  <c r="D109" i="61" s="1"/>
  <c r="C54" i="61"/>
  <c r="D110" i="61" s="1"/>
  <c r="D54" i="61"/>
  <c r="E110" i="61" s="1"/>
  <c r="D55" i="61"/>
  <c r="E111" i="61" s="1"/>
  <c r="C55" i="61"/>
  <c r="D111" i="61" s="1"/>
  <c r="I8" i="61"/>
  <c r="E87" i="61" s="1"/>
  <c r="F11" i="61"/>
  <c r="I9" i="61"/>
  <c r="E88" i="61" s="1"/>
  <c r="I10" i="61"/>
  <c r="E89" i="61" s="1"/>
  <c r="C61" i="60"/>
  <c r="C25" i="60"/>
  <c r="C76" i="60" s="1"/>
  <c r="C26" i="60"/>
  <c r="C77" i="60" s="1"/>
  <c r="C27" i="60"/>
  <c r="C78" i="60" s="1"/>
  <c r="I6" i="60"/>
  <c r="C40" i="60"/>
  <c r="F50" i="60"/>
  <c r="G50" i="60" s="1"/>
  <c r="H50" i="60" s="1"/>
  <c r="I50" i="60" s="1"/>
  <c r="F52" i="60"/>
  <c r="G52" i="60" s="1"/>
  <c r="H52" i="60" s="1"/>
  <c r="I52" i="60" s="1"/>
  <c r="C62" i="61"/>
  <c r="C23" i="61"/>
  <c r="C24" i="61"/>
  <c r="C25" i="61"/>
  <c r="C76" i="61" s="1"/>
  <c r="C26" i="61"/>
  <c r="C77" i="61" s="1"/>
  <c r="C27" i="61"/>
  <c r="C78" i="61" s="1"/>
  <c r="C28" i="61"/>
  <c r="C79" i="61" s="1"/>
  <c r="C29" i="61"/>
  <c r="C80" i="61" s="1"/>
  <c r="I7" i="61"/>
  <c r="C74" i="61"/>
  <c r="C75" i="61"/>
  <c r="C41" i="61"/>
  <c r="F51" i="61"/>
  <c r="F53" i="61"/>
  <c r="G51" i="61"/>
  <c r="H51" i="61" s="1"/>
  <c r="I51" i="61" s="1"/>
  <c r="G53" i="61"/>
  <c r="H53" i="61" s="1"/>
  <c r="I53" i="61" s="1"/>
  <c r="C35" i="1"/>
  <c r="B35" i="1"/>
  <c r="D37" i="1"/>
  <c r="E37" i="1" s="1"/>
  <c r="F37" i="1" s="1"/>
  <c r="G37" i="1" s="1"/>
  <c r="H37" i="1" s="1"/>
  <c r="D38" i="1"/>
  <c r="E38" i="1" s="1"/>
  <c r="F38" i="1" s="1"/>
  <c r="G38" i="1" s="1"/>
  <c r="H38" i="1" s="1"/>
  <c r="D39" i="1"/>
  <c r="E39" i="1" s="1"/>
  <c r="F39" i="1" s="1"/>
  <c r="G39" i="1" s="1"/>
  <c r="H39" i="1" s="1"/>
  <c r="D40" i="1"/>
  <c r="E40" i="1" s="1"/>
  <c r="F40" i="1" s="1"/>
  <c r="G40" i="1" s="1"/>
  <c r="H40" i="1" s="1"/>
  <c r="D42" i="1"/>
  <c r="E42" i="1" s="1"/>
  <c r="F42" i="1" s="1"/>
  <c r="G42" i="1" s="1"/>
  <c r="H42" i="1" s="1"/>
  <c r="D43" i="1"/>
  <c r="E43" i="1" s="1"/>
  <c r="F43" i="1" s="1"/>
  <c r="G43" i="1" s="1"/>
  <c r="H43" i="1" s="1"/>
  <c r="E45" i="1"/>
  <c r="F45" i="1" s="1"/>
  <c r="G45" i="1" s="1"/>
  <c r="H45" i="1" s="1"/>
  <c r="E47" i="1"/>
  <c r="F47" i="1" s="1"/>
  <c r="G47" i="1" s="1"/>
  <c r="H47" i="1" s="1"/>
  <c r="A18" i="64" l="1"/>
  <c r="A21" i="64"/>
  <c r="D74" i="57"/>
  <c r="D74" i="42"/>
  <c r="D74" i="55"/>
  <c r="D74" i="46"/>
  <c r="D74" i="53"/>
  <c r="D74" i="56"/>
  <c r="D74" i="41"/>
  <c r="D73" i="48"/>
  <c r="D73" i="51"/>
  <c r="D73" i="41"/>
  <c r="D73" i="44"/>
  <c r="D73" i="53"/>
  <c r="D73" i="57"/>
  <c r="D73" i="47"/>
  <c r="D73" i="55"/>
  <c r="D73" i="45"/>
  <c r="D73" i="50"/>
  <c r="A12" i="64"/>
  <c r="I7" i="47" s="1"/>
  <c r="E86" i="47" s="1"/>
  <c r="E48" i="41"/>
  <c r="F48" i="41" s="1"/>
  <c r="G48" i="41" s="1"/>
  <c r="H48" i="41" s="1"/>
  <c r="I48" i="41" s="1"/>
  <c r="D79" i="48"/>
  <c r="D76" i="47"/>
  <c r="D73" i="1"/>
  <c r="D74" i="47"/>
  <c r="D70" i="1"/>
  <c r="E74" i="61" s="1"/>
  <c r="D73" i="49"/>
  <c r="D73" i="46"/>
  <c r="C21" i="64"/>
  <c r="I9" i="49"/>
  <c r="E88" i="49" s="1"/>
  <c r="C13" i="64"/>
  <c r="I9" i="48" s="1"/>
  <c r="E88" i="48" s="1"/>
  <c r="C8" i="64"/>
  <c r="I9" i="42" s="1"/>
  <c r="E88" i="42" s="1"/>
  <c r="C17" i="64"/>
  <c r="I9" i="52" s="1"/>
  <c r="E88" i="52" s="1"/>
  <c r="B20" i="64"/>
  <c r="B11" i="64"/>
  <c r="I8" i="46" s="1"/>
  <c r="E87" i="46" s="1"/>
  <c r="B15" i="64"/>
  <c r="I8" i="50" s="1"/>
  <c r="E87" i="50" s="1"/>
  <c r="A9" i="64"/>
  <c r="I7" i="44" s="1"/>
  <c r="E86" i="44" s="1"/>
  <c r="H26" i="51"/>
  <c r="H26" i="50"/>
  <c r="B30" i="10"/>
  <c r="C30" i="10"/>
  <c r="A29" i="10"/>
  <c r="A34" i="10"/>
  <c r="B35" i="10"/>
  <c r="C35" i="10"/>
  <c r="A91" i="8"/>
  <c r="A31" i="8"/>
  <c r="A7" i="8"/>
  <c r="A8" i="8"/>
  <c r="A9" i="8"/>
  <c r="A17" i="8"/>
  <c r="A18" i="8"/>
  <c r="A5" i="8"/>
  <c r="A19" i="8"/>
  <c r="A6" i="8"/>
  <c r="A10" i="8"/>
  <c r="A15" i="8"/>
  <c r="A11" i="8"/>
  <c r="A14" i="8"/>
  <c r="A13" i="8"/>
  <c r="B31" i="64"/>
  <c r="C31" i="64"/>
  <c r="B33" i="64"/>
  <c r="A30" i="64"/>
  <c r="C33" i="64"/>
  <c r="F15" i="58"/>
  <c r="F14" i="58"/>
  <c r="E104" i="1"/>
  <c r="E100" i="1"/>
  <c r="F13" i="58"/>
  <c r="C78" i="57"/>
  <c r="C78" i="44"/>
  <c r="C78" i="49"/>
  <c r="H24" i="1"/>
  <c r="H23" i="60" s="1"/>
  <c r="B7" i="64"/>
  <c r="I8" i="41" s="1"/>
  <c r="E87" i="41" s="1"/>
  <c r="B16" i="64"/>
  <c r="I8" i="51" s="1"/>
  <c r="E87" i="51" s="1"/>
  <c r="C12" i="64"/>
  <c r="I9" i="47" s="1"/>
  <c r="E88" i="47" s="1"/>
  <c r="C19" i="64"/>
  <c r="F23" i="1"/>
  <c r="F22" i="57" s="1"/>
  <c r="A13" i="64"/>
  <c r="I7" i="48" s="1"/>
  <c r="E86" i="48" s="1"/>
  <c r="A15" i="64"/>
  <c r="I7" i="50" s="1"/>
  <c r="E86" i="50" s="1"/>
  <c r="B8" i="64"/>
  <c r="I8" i="42" s="1"/>
  <c r="E87" i="42" s="1"/>
  <c r="B17" i="64"/>
  <c r="I8" i="52" s="1"/>
  <c r="E87" i="52" s="1"/>
  <c r="C11" i="64"/>
  <c r="I9" i="46" s="1"/>
  <c r="E88" i="46" s="1"/>
  <c r="C16" i="64"/>
  <c r="I9" i="51" s="1"/>
  <c r="E88" i="51" s="1"/>
  <c r="E45" i="59"/>
  <c r="F45" i="59" s="1"/>
  <c r="G45" i="59" s="1"/>
  <c r="H45" i="59" s="1"/>
  <c r="I45" i="59" s="1"/>
  <c r="I8" i="49"/>
  <c r="E87" i="49" s="1"/>
  <c r="C78" i="46"/>
  <c r="B41" i="1"/>
  <c r="C93" i="1" s="1"/>
  <c r="E93" i="1" s="1"/>
  <c r="A7" i="64"/>
  <c r="I7" i="41" s="1"/>
  <c r="E86" i="41" s="1"/>
  <c r="A16" i="64"/>
  <c r="I7" i="51" s="1"/>
  <c r="E86" i="51" s="1"/>
  <c r="B9" i="64"/>
  <c r="I8" i="44" s="1"/>
  <c r="E87" i="44" s="1"/>
  <c r="B18" i="64"/>
  <c r="C10" i="64"/>
  <c r="I9" i="45" s="1"/>
  <c r="E88" i="45" s="1"/>
  <c r="C18" i="64"/>
  <c r="C78" i="54"/>
  <c r="C78" i="42"/>
  <c r="A8" i="64"/>
  <c r="I7" i="42" s="1"/>
  <c r="E86" i="42" s="1"/>
  <c r="A17" i="64"/>
  <c r="I7" i="52" s="1"/>
  <c r="E86" i="52" s="1"/>
  <c r="B10" i="64"/>
  <c r="I8" i="45" s="1"/>
  <c r="E87" i="45" s="1"/>
  <c r="B19" i="64"/>
  <c r="C9" i="64"/>
  <c r="I9" i="44" s="1"/>
  <c r="E88" i="44" s="1"/>
  <c r="C20" i="64"/>
  <c r="C78" i="41"/>
  <c r="C78" i="45"/>
  <c r="A31" i="63"/>
  <c r="A32" i="63" s="1"/>
  <c r="A10" i="64"/>
  <c r="I7" i="45" s="1"/>
  <c r="E86" i="45" s="1"/>
  <c r="A19" i="64"/>
  <c r="B12" i="64"/>
  <c r="I8" i="47" s="1"/>
  <c r="E87" i="47" s="1"/>
  <c r="B21" i="64"/>
  <c r="C7" i="64"/>
  <c r="I9" i="41" s="1"/>
  <c r="E88" i="41" s="1"/>
  <c r="A11" i="64"/>
  <c r="I7" i="46" s="1"/>
  <c r="E86" i="46" s="1"/>
  <c r="C89" i="1"/>
  <c r="E89" i="1" s="1"/>
  <c r="A19" i="63"/>
  <c r="A16" i="63"/>
  <c r="A18" i="63"/>
  <c r="A17" i="63"/>
  <c r="A15" i="63"/>
  <c r="A14" i="63"/>
  <c r="A5" i="63"/>
  <c r="A7" i="63"/>
  <c r="A8" i="63"/>
  <c r="A10" i="63"/>
  <c r="A9" i="63"/>
  <c r="A11" i="63"/>
  <c r="A13" i="63"/>
  <c r="D79" i="56"/>
  <c r="D79" i="42"/>
  <c r="D72" i="1"/>
  <c r="D76" i="1"/>
  <c r="E80" i="61" s="1"/>
  <c r="I28" i="48"/>
  <c r="D79" i="55"/>
  <c r="D79" i="46"/>
  <c r="D79" i="45"/>
  <c r="D79" i="44"/>
  <c r="I28" i="57"/>
  <c r="D79" i="53"/>
  <c r="D79" i="41"/>
  <c r="D79" i="49"/>
  <c r="D79" i="54"/>
  <c r="D79" i="57"/>
  <c r="H24" i="44"/>
  <c r="D75" i="50"/>
  <c r="H24" i="46"/>
  <c r="D75" i="41"/>
  <c r="J24" i="54"/>
  <c r="D75" i="56"/>
  <c r="D75" i="46"/>
  <c r="D75" i="55"/>
  <c r="D75" i="49"/>
  <c r="D75" i="44"/>
  <c r="D75" i="53"/>
  <c r="D75" i="54"/>
  <c r="E44" i="44"/>
  <c r="F44" i="44" s="1"/>
  <c r="G44" i="44" s="1"/>
  <c r="H44" i="44" s="1"/>
  <c r="I44" i="44" s="1"/>
  <c r="F109" i="58"/>
  <c r="G28" i="45"/>
  <c r="G28" i="51"/>
  <c r="G28" i="50"/>
  <c r="H24" i="42"/>
  <c r="H24" i="47"/>
  <c r="H24" i="45"/>
  <c r="D75" i="51"/>
  <c r="H24" i="51"/>
  <c r="H24" i="49"/>
  <c r="H24" i="50"/>
  <c r="I24" i="54"/>
  <c r="H24" i="54"/>
  <c r="E45" i="55"/>
  <c r="F45" i="55" s="1"/>
  <c r="G45" i="55" s="1"/>
  <c r="H45" i="55" s="1"/>
  <c r="I45" i="55" s="1"/>
  <c r="D45" i="52"/>
  <c r="E45" i="47"/>
  <c r="F45" i="47" s="1"/>
  <c r="G45" i="47" s="1"/>
  <c r="H45" i="47" s="1"/>
  <c r="I45" i="47" s="1"/>
  <c r="F101" i="52"/>
  <c r="E78" i="59"/>
  <c r="D77" i="56"/>
  <c r="D77" i="41"/>
  <c r="D77" i="47"/>
  <c r="D77" i="51"/>
  <c r="E75" i="47"/>
  <c r="E102" i="1"/>
  <c r="F107" i="48"/>
  <c r="I24" i="52"/>
  <c r="I25" i="61"/>
  <c r="D77" i="44"/>
  <c r="C75" i="49"/>
  <c r="E45" i="54"/>
  <c r="F45" i="54" s="1"/>
  <c r="G45" i="54" s="1"/>
  <c r="H45" i="54" s="1"/>
  <c r="I45" i="54" s="1"/>
  <c r="E91" i="1"/>
  <c r="F97" i="58"/>
  <c r="I24" i="50"/>
  <c r="I24" i="49"/>
  <c r="I24" i="45"/>
  <c r="I24" i="44"/>
  <c r="I24" i="42"/>
  <c r="H28" i="58"/>
  <c r="C75" i="57"/>
  <c r="C75" i="47"/>
  <c r="E42" i="50"/>
  <c r="F42" i="50" s="1"/>
  <c r="G42" i="50" s="1"/>
  <c r="H42" i="50" s="1"/>
  <c r="I42" i="50" s="1"/>
  <c r="I24" i="48"/>
  <c r="C75" i="46"/>
  <c r="C75" i="51"/>
  <c r="F109" i="51"/>
  <c r="E47" i="53"/>
  <c r="F47" i="53" s="1"/>
  <c r="G47" i="53" s="1"/>
  <c r="H47" i="53" s="1"/>
  <c r="I47" i="53" s="1"/>
  <c r="C77" i="56"/>
  <c r="C77" i="57"/>
  <c r="C77" i="46"/>
  <c r="C76" i="47"/>
  <c r="H24" i="52"/>
  <c r="J24" i="45"/>
  <c r="H28" i="44"/>
  <c r="D73" i="54"/>
  <c r="D77" i="55"/>
  <c r="C78" i="56"/>
  <c r="C75" i="56"/>
  <c r="C77" i="42"/>
  <c r="D73" i="42"/>
  <c r="D74" i="44"/>
  <c r="D74" i="45"/>
  <c r="D79" i="47"/>
  <c r="D75" i="47"/>
  <c r="C75" i="48"/>
  <c r="H28" i="49"/>
  <c r="G28" i="44"/>
  <c r="J24" i="59"/>
  <c r="G28" i="49"/>
  <c r="G28" i="42"/>
  <c r="J24" i="60"/>
  <c r="C74" i="48"/>
  <c r="G28" i="41"/>
  <c r="G28" i="55"/>
  <c r="D76" i="51"/>
  <c r="H28" i="52"/>
  <c r="H28" i="48"/>
  <c r="H28" i="56"/>
  <c r="G28" i="52"/>
  <c r="G28" i="48"/>
  <c r="G28" i="47"/>
  <c r="G28" i="46"/>
  <c r="I24" i="51"/>
  <c r="H24" i="48"/>
  <c r="I24" i="47"/>
  <c r="G24" i="42"/>
  <c r="I24" i="41"/>
  <c r="H25" i="61"/>
  <c r="I24" i="60"/>
  <c r="I24" i="59"/>
  <c r="I24" i="58"/>
  <c r="J24" i="51"/>
  <c r="H28" i="50"/>
  <c r="G24" i="50"/>
  <c r="J24" i="47"/>
  <c r="H28" i="46"/>
  <c r="H24" i="60"/>
  <c r="J24" i="58"/>
  <c r="J24" i="57"/>
  <c r="J24" i="55"/>
  <c r="C78" i="53"/>
  <c r="D76" i="54"/>
  <c r="C78" i="55"/>
  <c r="C74" i="56"/>
  <c r="D75" i="57"/>
  <c r="C74" i="41"/>
  <c r="D75" i="42"/>
  <c r="C74" i="44"/>
  <c r="D75" i="45"/>
  <c r="C74" i="46"/>
  <c r="D76" i="48"/>
  <c r="C77" i="50"/>
  <c r="C74" i="50"/>
  <c r="D79" i="51"/>
  <c r="C78" i="52"/>
  <c r="C74" i="54"/>
  <c r="J24" i="49"/>
  <c r="G24" i="45"/>
  <c r="D76" i="56"/>
  <c r="D76" i="41"/>
  <c r="D76" i="44"/>
  <c r="D76" i="46"/>
  <c r="D76" i="50"/>
  <c r="C78" i="51"/>
  <c r="J24" i="46"/>
  <c r="H28" i="45"/>
  <c r="J24" i="42"/>
  <c r="C74" i="55"/>
  <c r="D75" i="48"/>
  <c r="C73" i="50"/>
  <c r="D79" i="52"/>
  <c r="J24" i="52"/>
  <c r="H28" i="51"/>
  <c r="H29" i="61"/>
  <c r="D76" i="53"/>
  <c r="C74" i="53"/>
  <c r="D76" i="55"/>
  <c r="C74" i="57"/>
  <c r="C74" i="42"/>
  <c r="C74" i="45"/>
  <c r="C74" i="51"/>
  <c r="I27" i="50"/>
  <c r="J24" i="50"/>
  <c r="J24" i="48"/>
  <c r="H28" i="47"/>
  <c r="I28" i="55"/>
  <c r="D76" i="57"/>
  <c r="D76" i="42"/>
  <c r="D76" i="45"/>
  <c r="C74" i="47"/>
  <c r="D71" i="1"/>
  <c r="E75" i="61" s="1"/>
  <c r="C73" i="55"/>
  <c r="C73" i="41"/>
  <c r="C73" i="47"/>
  <c r="C73" i="46"/>
  <c r="C73" i="54"/>
  <c r="C73" i="57"/>
  <c r="C73" i="52"/>
  <c r="C73" i="42"/>
  <c r="C73" i="56"/>
  <c r="C73" i="53"/>
  <c r="C73" i="44"/>
  <c r="C73" i="49"/>
  <c r="C73" i="45"/>
  <c r="C73" i="48"/>
  <c r="F11" i="41"/>
  <c r="H24" i="57"/>
  <c r="H24" i="56"/>
  <c r="K24" i="42"/>
  <c r="K24" i="55"/>
  <c r="G24" i="46"/>
  <c r="H24" i="55"/>
  <c r="H24" i="59"/>
  <c r="I24" i="46"/>
  <c r="J24" i="44"/>
  <c r="H24" i="41"/>
  <c r="J25" i="61"/>
  <c r="J24" i="41"/>
  <c r="H24" i="58"/>
  <c r="I24" i="57"/>
  <c r="G24" i="44"/>
  <c r="G24" i="52"/>
  <c r="G24" i="49"/>
  <c r="G24" i="47"/>
  <c r="G24" i="55"/>
  <c r="K24" i="46"/>
  <c r="G24" i="51"/>
  <c r="G24" i="48"/>
  <c r="I27" i="47"/>
  <c r="H27" i="48"/>
  <c r="H27" i="60"/>
  <c r="H27" i="46"/>
  <c r="H27" i="49"/>
  <c r="I25" i="52"/>
  <c r="H27" i="51"/>
  <c r="H27" i="41"/>
  <c r="H27" i="45"/>
  <c r="J25" i="46"/>
  <c r="H25" i="41"/>
  <c r="H25" i="45"/>
  <c r="H25" i="47"/>
  <c r="D77" i="45"/>
  <c r="D77" i="48"/>
  <c r="D77" i="54"/>
  <c r="D77" i="57"/>
  <c r="D77" i="42"/>
  <c r="D77" i="49"/>
  <c r="D77" i="46"/>
  <c r="D77" i="50"/>
  <c r="F11" i="58"/>
  <c r="F11" i="52"/>
  <c r="D90" i="52" s="1"/>
  <c r="D86" i="52" s="1"/>
  <c r="E23" i="44"/>
  <c r="F35" i="1"/>
  <c r="G35" i="1"/>
  <c r="H35" i="1"/>
  <c r="E35" i="1"/>
  <c r="D74" i="54"/>
  <c r="D74" i="51"/>
  <c r="D74" i="49"/>
  <c r="E26" i="58"/>
  <c r="E26" i="60"/>
  <c r="E26" i="46"/>
  <c r="H27" i="52"/>
  <c r="H27" i="47"/>
  <c r="H27" i="54"/>
  <c r="I25" i="50"/>
  <c r="D78" i="54"/>
  <c r="D78" i="44"/>
  <c r="D78" i="45"/>
  <c r="D78" i="53"/>
  <c r="D78" i="42"/>
  <c r="D78" i="55"/>
  <c r="D78" i="48"/>
  <c r="D78" i="51"/>
  <c r="D78" i="41"/>
  <c r="D78" i="57"/>
  <c r="D78" i="49"/>
  <c r="D78" i="56"/>
  <c r="D78" i="46"/>
  <c r="K28" i="45"/>
  <c r="K28" i="50"/>
  <c r="K28" i="49"/>
  <c r="H28" i="41"/>
  <c r="H28" i="60"/>
  <c r="K28" i="55"/>
  <c r="H28" i="57"/>
  <c r="K28" i="42"/>
  <c r="K28" i="46"/>
  <c r="H28" i="59"/>
  <c r="H25" i="57"/>
  <c r="J25" i="51"/>
  <c r="C76" i="54"/>
  <c r="H25" i="55"/>
  <c r="C76" i="48"/>
  <c r="F93" i="60"/>
  <c r="C40" i="53"/>
  <c r="F17" i="53"/>
  <c r="H26" i="47"/>
  <c r="K26" i="48"/>
  <c r="K26" i="55"/>
  <c r="E26" i="48"/>
  <c r="E26" i="54"/>
  <c r="E26" i="53"/>
  <c r="I27" i="52"/>
  <c r="H27" i="50"/>
  <c r="I27" i="49"/>
  <c r="I27" i="48"/>
  <c r="I28" i="61"/>
  <c r="I27" i="45"/>
  <c r="J25" i="48"/>
  <c r="E25" i="41"/>
  <c r="I27" i="46"/>
  <c r="I27" i="41"/>
  <c r="H28" i="61"/>
  <c r="I27" i="42"/>
  <c r="I27" i="59"/>
  <c r="I27" i="51"/>
  <c r="H27" i="42"/>
  <c r="G27" i="41"/>
  <c r="I27" i="44"/>
  <c r="I27" i="60"/>
  <c r="G25" i="51"/>
  <c r="H25" i="44"/>
  <c r="H25" i="42"/>
  <c r="H25" i="50"/>
  <c r="H25" i="51"/>
  <c r="C77" i="53"/>
  <c r="C77" i="54"/>
  <c r="C77" i="51"/>
  <c r="K26" i="46"/>
  <c r="C77" i="41"/>
  <c r="C77" i="48"/>
  <c r="H74" i="1"/>
  <c r="I77" i="52" s="1"/>
  <c r="E74" i="1"/>
  <c r="F77" i="52" s="1"/>
  <c r="J26" i="44"/>
  <c r="C77" i="55"/>
  <c r="G74" i="1"/>
  <c r="H77" i="47" s="1"/>
  <c r="C77" i="45"/>
  <c r="C76" i="51"/>
  <c r="G25" i="50"/>
  <c r="H25" i="49"/>
  <c r="H25" i="46"/>
  <c r="H25" i="60"/>
  <c r="H25" i="58"/>
  <c r="C76" i="56"/>
  <c r="C76" i="57"/>
  <c r="C76" i="41"/>
  <c r="C76" i="42"/>
  <c r="C76" i="45"/>
  <c r="C76" i="46"/>
  <c r="C76" i="50"/>
  <c r="C76" i="55"/>
  <c r="J26" i="61"/>
  <c r="C76" i="44"/>
  <c r="C76" i="53"/>
  <c r="C76" i="49"/>
  <c r="H73" i="1"/>
  <c r="I76" i="49" s="1"/>
  <c r="J25" i="50"/>
  <c r="E23" i="49"/>
  <c r="E23" i="46"/>
  <c r="E23" i="51"/>
  <c r="E22" i="52"/>
  <c r="B36" i="1"/>
  <c r="D36" i="1" s="1"/>
  <c r="E36" i="1" s="1"/>
  <c r="F36" i="1" s="1"/>
  <c r="F17" i="42"/>
  <c r="C40" i="51"/>
  <c r="E23" i="48"/>
  <c r="C40" i="42"/>
  <c r="E23" i="50"/>
  <c r="E23" i="47"/>
  <c r="E23" i="52"/>
  <c r="E23" i="45"/>
  <c r="E24" i="61"/>
  <c r="E23" i="60"/>
  <c r="E23" i="54"/>
  <c r="E23" i="42"/>
  <c r="C40" i="52"/>
  <c r="E23" i="56"/>
  <c r="J24" i="1"/>
  <c r="J23" i="56" s="1"/>
  <c r="E23" i="58"/>
  <c r="G24" i="1"/>
  <c r="G23" i="54" s="1"/>
  <c r="E23" i="59"/>
  <c r="E23" i="41"/>
  <c r="I26" i="52"/>
  <c r="I26" i="50"/>
  <c r="H26" i="45"/>
  <c r="H26" i="57"/>
  <c r="H27" i="44"/>
  <c r="H27" i="55"/>
  <c r="H27" i="53"/>
  <c r="K27" i="42"/>
  <c r="K27" i="59"/>
  <c r="K27" i="49"/>
  <c r="J27" i="42"/>
  <c r="K27" i="46"/>
  <c r="H27" i="56"/>
  <c r="H27" i="57"/>
  <c r="H27" i="58"/>
  <c r="E27" i="60"/>
  <c r="E79" i="61"/>
  <c r="E78" i="60"/>
  <c r="H25" i="52"/>
  <c r="J25" i="49"/>
  <c r="H25" i="48"/>
  <c r="K25" i="45"/>
  <c r="G25" i="44"/>
  <c r="H26" i="61"/>
  <c r="H25" i="56"/>
  <c r="J25" i="45"/>
  <c r="J25" i="60"/>
  <c r="J25" i="58"/>
  <c r="J25" i="42"/>
  <c r="J25" i="47"/>
  <c r="J25" i="52"/>
  <c r="K25" i="48"/>
  <c r="J25" i="44"/>
  <c r="J25" i="41"/>
  <c r="E26" i="61"/>
  <c r="E27" i="53"/>
  <c r="E27" i="41"/>
  <c r="E27" i="58"/>
  <c r="G27" i="57"/>
  <c r="J25" i="54"/>
  <c r="G27" i="51"/>
  <c r="G27" i="50"/>
  <c r="G27" i="48"/>
  <c r="G27" i="46"/>
  <c r="G28" i="61"/>
  <c r="E27" i="59"/>
  <c r="G27" i="56"/>
  <c r="G27" i="52"/>
  <c r="G27" i="47"/>
  <c r="G27" i="45"/>
  <c r="G27" i="44"/>
  <c r="G27" i="42"/>
  <c r="E27" i="57"/>
  <c r="G27" i="55"/>
  <c r="E27" i="51"/>
  <c r="E27" i="50"/>
  <c r="G27" i="49"/>
  <c r="E27" i="48"/>
  <c r="E27" i="46"/>
  <c r="E28" i="61"/>
  <c r="E27" i="56"/>
  <c r="E27" i="54"/>
  <c r="E27" i="52"/>
  <c r="E27" i="47"/>
  <c r="E27" i="45"/>
  <c r="E27" i="44"/>
  <c r="E27" i="42"/>
  <c r="E27" i="55"/>
  <c r="J26" i="56"/>
  <c r="F23" i="53"/>
  <c r="F23" i="41"/>
  <c r="F23" i="46"/>
  <c r="F23" i="55"/>
  <c r="F23" i="57"/>
  <c r="F23" i="59"/>
  <c r="F24" i="61"/>
  <c r="F23" i="49"/>
  <c r="F23" i="42"/>
  <c r="F23" i="60"/>
  <c r="F23" i="45"/>
  <c r="F23" i="48"/>
  <c r="D99" i="41"/>
  <c r="F99" i="41" s="1"/>
  <c r="E44" i="41"/>
  <c r="F44" i="41" s="1"/>
  <c r="G44" i="41" s="1"/>
  <c r="H44" i="41" s="1"/>
  <c r="I44" i="41" s="1"/>
  <c r="E47" i="47"/>
  <c r="F47" i="47" s="1"/>
  <c r="G47" i="47" s="1"/>
  <c r="H47" i="47" s="1"/>
  <c r="I47" i="47" s="1"/>
  <c r="F23" i="50"/>
  <c r="C79" i="52"/>
  <c r="C79" i="46"/>
  <c r="C79" i="47"/>
  <c r="C79" i="55"/>
  <c r="C79" i="54"/>
  <c r="C79" i="53"/>
  <c r="C79" i="48"/>
  <c r="C79" i="56"/>
  <c r="C79" i="49"/>
  <c r="C79" i="57"/>
  <c r="C79" i="44"/>
  <c r="C79" i="50"/>
  <c r="C79" i="41"/>
  <c r="C79" i="51"/>
  <c r="C79" i="42"/>
  <c r="K25" i="55"/>
  <c r="K25" i="59"/>
  <c r="K25" i="57"/>
  <c r="K25" i="47"/>
  <c r="K25" i="52"/>
  <c r="K25" i="41"/>
  <c r="K25" i="44"/>
  <c r="K25" i="51"/>
  <c r="K26" i="61"/>
  <c r="K25" i="46"/>
  <c r="K25" i="50"/>
  <c r="K25" i="60"/>
  <c r="K25" i="49"/>
  <c r="K25" i="54"/>
  <c r="K25" i="42"/>
  <c r="K27" i="56"/>
  <c r="K27" i="45"/>
  <c r="K27" i="48"/>
  <c r="K27" i="55"/>
  <c r="K27" i="41"/>
  <c r="K27" i="47"/>
  <c r="K27" i="52"/>
  <c r="K28" i="61"/>
  <c r="K27" i="44"/>
  <c r="K27" i="54"/>
  <c r="K27" i="58"/>
  <c r="K27" i="60"/>
  <c r="K27" i="51"/>
  <c r="F97" i="52"/>
  <c r="E45" i="52"/>
  <c r="F45" i="52" s="1"/>
  <c r="G45" i="52" s="1"/>
  <c r="H45" i="52" s="1"/>
  <c r="I45" i="52" s="1"/>
  <c r="F97" i="48"/>
  <c r="E45" i="48"/>
  <c r="F45" i="48" s="1"/>
  <c r="G45" i="48" s="1"/>
  <c r="H45" i="48" s="1"/>
  <c r="I45" i="48" s="1"/>
  <c r="J28" i="56"/>
  <c r="J28" i="48"/>
  <c r="J28" i="54"/>
  <c r="J29" i="61"/>
  <c r="J28" i="47"/>
  <c r="J28" i="52"/>
  <c r="J28" i="58"/>
  <c r="J28" i="60"/>
  <c r="J28" i="51"/>
  <c r="J28" i="59"/>
  <c r="J28" i="42"/>
  <c r="J28" i="46"/>
  <c r="J28" i="49"/>
  <c r="J28" i="50"/>
  <c r="G23" i="1"/>
  <c r="G22" i="54" s="1"/>
  <c r="E22" i="44"/>
  <c r="E22" i="47"/>
  <c r="E22" i="50"/>
  <c r="E22" i="51"/>
  <c r="I23" i="1"/>
  <c r="I22" i="55" s="1"/>
  <c r="E22" i="58"/>
  <c r="K23" i="1"/>
  <c r="K22" i="54" s="1"/>
  <c r="E22" i="54"/>
  <c r="E22" i="56"/>
  <c r="E22" i="46"/>
  <c r="E22" i="49"/>
  <c r="E22" i="41"/>
  <c r="E22" i="42"/>
  <c r="E22" i="57"/>
  <c r="E22" i="59"/>
  <c r="E23" i="61"/>
  <c r="E22" i="45"/>
  <c r="E22" i="48"/>
  <c r="G26" i="50"/>
  <c r="G26" i="51"/>
  <c r="F100" i="54"/>
  <c r="E47" i="54"/>
  <c r="F47" i="54" s="1"/>
  <c r="G47" i="54" s="1"/>
  <c r="H47" i="54" s="1"/>
  <c r="I47" i="54" s="1"/>
  <c r="F23" i="44"/>
  <c r="F23" i="58"/>
  <c r="I28" i="53"/>
  <c r="I29" i="61"/>
  <c r="I28" i="41"/>
  <c r="I28" i="47"/>
  <c r="I28" i="52"/>
  <c r="I28" i="58"/>
  <c r="I28" i="60"/>
  <c r="I28" i="44"/>
  <c r="I28" i="56"/>
  <c r="I28" i="51"/>
  <c r="I28" i="59"/>
  <c r="I28" i="42"/>
  <c r="I28" i="46"/>
  <c r="I28" i="49"/>
  <c r="I28" i="50"/>
  <c r="K24" i="45"/>
  <c r="K24" i="48"/>
  <c r="K24" i="56"/>
  <c r="K24" i="52"/>
  <c r="K24" i="44"/>
  <c r="K24" i="47"/>
  <c r="K24" i="50"/>
  <c r="K24" i="51"/>
  <c r="F100" i="49"/>
  <c r="E47" i="49"/>
  <c r="F47" i="49" s="1"/>
  <c r="G47" i="49" s="1"/>
  <c r="H47" i="49" s="1"/>
  <c r="I47" i="49" s="1"/>
  <c r="D99" i="58"/>
  <c r="F99" i="58" s="1"/>
  <c r="E44" i="58"/>
  <c r="F44" i="58" s="1"/>
  <c r="G44" i="58" s="1"/>
  <c r="H44" i="58" s="1"/>
  <c r="I44" i="58" s="1"/>
  <c r="F100" i="45"/>
  <c r="E47" i="45"/>
  <c r="F47" i="45" s="1"/>
  <c r="G47" i="45" s="1"/>
  <c r="H47" i="45" s="1"/>
  <c r="I47" i="45" s="1"/>
  <c r="F23" i="52"/>
  <c r="F23" i="51"/>
  <c r="F23" i="47"/>
  <c r="J28" i="45"/>
  <c r="G73" i="1"/>
  <c r="F73" i="1"/>
  <c r="G76" i="41" s="1"/>
  <c r="E103" i="1"/>
  <c r="F11" i="55"/>
  <c r="D90" i="55" s="1"/>
  <c r="F95" i="47"/>
  <c r="K28" i="51"/>
  <c r="K24" i="1"/>
  <c r="E23" i="53"/>
  <c r="C77" i="44"/>
  <c r="D78" i="47"/>
  <c r="C78" i="48"/>
  <c r="D74" i="48"/>
  <c r="D76" i="49"/>
  <c r="C74" i="49"/>
  <c r="I78" i="50"/>
  <c r="E73" i="1"/>
  <c r="F76" i="46" s="1"/>
  <c r="F11" i="57"/>
  <c r="E44" i="56"/>
  <c r="F44" i="56" s="1"/>
  <c r="G44" i="56" s="1"/>
  <c r="H44" i="56" s="1"/>
  <c r="I44" i="56" s="1"/>
  <c r="F108" i="53"/>
  <c r="F110" i="45"/>
  <c r="K28" i="52"/>
  <c r="K28" i="47"/>
  <c r="K28" i="44"/>
  <c r="K28" i="54"/>
  <c r="C77" i="52"/>
  <c r="D76" i="52"/>
  <c r="K28" i="41"/>
  <c r="I24" i="1"/>
  <c r="E101" i="1"/>
  <c r="E94" i="1"/>
  <c r="E90" i="1"/>
  <c r="E42" i="42"/>
  <c r="F42" i="42" s="1"/>
  <c r="G42" i="42" s="1"/>
  <c r="H42" i="42" s="1"/>
  <c r="I42" i="42" s="1"/>
  <c r="K28" i="48"/>
  <c r="E25" i="42"/>
  <c r="E23" i="57"/>
  <c r="E23" i="55"/>
  <c r="G28" i="54"/>
  <c r="D78" i="50"/>
  <c r="F107" i="54"/>
  <c r="D74" i="50"/>
  <c r="F106" i="60"/>
  <c r="F99" i="60"/>
  <c r="D40" i="55"/>
  <c r="E43" i="54"/>
  <c r="F43" i="54" s="1"/>
  <c r="G43" i="54" s="1"/>
  <c r="H43" i="54" s="1"/>
  <c r="I43" i="54" s="1"/>
  <c r="E45" i="53"/>
  <c r="F45" i="53" s="1"/>
  <c r="G45" i="53" s="1"/>
  <c r="H45" i="53" s="1"/>
  <c r="I45" i="53" s="1"/>
  <c r="F101" i="53"/>
  <c r="E47" i="42"/>
  <c r="F47" i="42" s="1"/>
  <c r="G47" i="42" s="1"/>
  <c r="H47" i="42" s="1"/>
  <c r="I47" i="42" s="1"/>
  <c r="F110" i="41"/>
  <c r="F108" i="41"/>
  <c r="F106" i="41"/>
  <c r="F96" i="41"/>
  <c r="F96" i="46"/>
  <c r="H26" i="59"/>
  <c r="H25" i="59"/>
  <c r="I27" i="58"/>
  <c r="K25" i="58"/>
  <c r="E25" i="57"/>
  <c r="G25" i="54"/>
  <c r="K27" i="53"/>
  <c r="K25" i="53"/>
  <c r="F12" i="61"/>
  <c r="D91" i="61" s="1"/>
  <c r="F17" i="57"/>
  <c r="E48" i="46"/>
  <c r="F48" i="46" s="1"/>
  <c r="G48" i="46" s="1"/>
  <c r="H48" i="46" s="1"/>
  <c r="I48" i="46" s="1"/>
  <c r="F108" i="47"/>
  <c r="E45" i="49"/>
  <c r="F45" i="49" s="1"/>
  <c r="G45" i="49" s="1"/>
  <c r="H45" i="49" s="1"/>
  <c r="I45" i="49" s="1"/>
  <c r="F110" i="50"/>
  <c r="F106" i="50"/>
  <c r="F96" i="58"/>
  <c r="F95" i="58"/>
  <c r="C40" i="57"/>
  <c r="E40" i="57" s="1"/>
  <c r="D93" i="57"/>
  <c r="F11" i="54"/>
  <c r="D90" i="54" s="1"/>
  <c r="F108" i="54"/>
  <c r="F110" i="47"/>
  <c r="F17" i="48"/>
  <c r="F96" i="49"/>
  <c r="F18" i="51"/>
  <c r="E42" i="52"/>
  <c r="F42" i="52" s="1"/>
  <c r="G42" i="52" s="1"/>
  <c r="H42" i="52" s="1"/>
  <c r="I42" i="52" s="1"/>
  <c r="J26" i="52"/>
  <c r="E26" i="52"/>
  <c r="E25" i="52"/>
  <c r="J26" i="51"/>
  <c r="E26" i="51"/>
  <c r="H26" i="49"/>
  <c r="G25" i="49"/>
  <c r="E25" i="48"/>
  <c r="J26" i="47"/>
  <c r="G25" i="47"/>
  <c r="E25" i="46"/>
  <c r="J26" i="45"/>
  <c r="G25" i="45"/>
  <c r="K26" i="44"/>
  <c r="E26" i="44"/>
  <c r="H26" i="42"/>
  <c r="H26" i="41"/>
  <c r="H27" i="61"/>
  <c r="E25" i="60"/>
  <c r="J26" i="59"/>
  <c r="G25" i="59"/>
  <c r="E25" i="58"/>
  <c r="K26" i="57"/>
  <c r="K26" i="56"/>
  <c r="E26" i="56"/>
  <c r="F17" i="55"/>
  <c r="E46" i="61"/>
  <c r="F46" i="61" s="1"/>
  <c r="G46" i="61" s="1"/>
  <c r="H46" i="61" s="1"/>
  <c r="I46" i="61" s="1"/>
  <c r="F107" i="61"/>
  <c r="E48" i="59"/>
  <c r="F48" i="59" s="1"/>
  <c r="G48" i="59" s="1"/>
  <c r="H48" i="59" s="1"/>
  <c r="I48" i="59" s="1"/>
  <c r="E43" i="59"/>
  <c r="F43" i="59" s="1"/>
  <c r="G43" i="59" s="1"/>
  <c r="H43" i="59" s="1"/>
  <c r="I43" i="59" s="1"/>
  <c r="E47" i="57"/>
  <c r="F47" i="57" s="1"/>
  <c r="G47" i="57" s="1"/>
  <c r="H47" i="57" s="1"/>
  <c r="I47" i="57" s="1"/>
  <c r="F17" i="54"/>
  <c r="E43" i="45"/>
  <c r="F43" i="45" s="1"/>
  <c r="G43" i="45" s="1"/>
  <c r="H43" i="45" s="1"/>
  <c r="I43" i="45" s="1"/>
  <c r="E47" i="48"/>
  <c r="F47" i="48" s="1"/>
  <c r="G47" i="48" s="1"/>
  <c r="H47" i="48" s="1"/>
  <c r="I47" i="48" s="1"/>
  <c r="F11" i="47"/>
  <c r="E43" i="48"/>
  <c r="F43" i="48" s="1"/>
  <c r="G43" i="48" s="1"/>
  <c r="H43" i="48" s="1"/>
  <c r="I43" i="48" s="1"/>
  <c r="E42" i="48"/>
  <c r="F42" i="48" s="1"/>
  <c r="G42" i="48" s="1"/>
  <c r="H42" i="48" s="1"/>
  <c r="I42" i="48" s="1"/>
  <c r="E47" i="50"/>
  <c r="F47" i="50" s="1"/>
  <c r="G47" i="50" s="1"/>
  <c r="H47" i="50" s="1"/>
  <c r="I47" i="50" s="1"/>
  <c r="E42" i="51"/>
  <c r="F42" i="51" s="1"/>
  <c r="G42" i="51" s="1"/>
  <c r="H42" i="51" s="1"/>
  <c r="I42" i="51" s="1"/>
  <c r="D95" i="52"/>
  <c r="K26" i="52"/>
  <c r="K26" i="51"/>
  <c r="E25" i="51"/>
  <c r="J26" i="50"/>
  <c r="E26" i="50"/>
  <c r="E25" i="50"/>
  <c r="J26" i="49"/>
  <c r="E26" i="49"/>
  <c r="H26" i="48"/>
  <c r="K26" i="47"/>
  <c r="E26" i="47"/>
  <c r="H26" i="46"/>
  <c r="K26" i="45"/>
  <c r="E26" i="45"/>
  <c r="E25" i="44"/>
  <c r="J26" i="42"/>
  <c r="G25" i="42"/>
  <c r="J26" i="41"/>
  <c r="G25" i="41"/>
  <c r="J27" i="61"/>
  <c r="G26" i="61"/>
  <c r="H26" i="60"/>
  <c r="E26" i="59"/>
  <c r="H26" i="58"/>
  <c r="E26" i="57"/>
  <c r="I27" i="55"/>
  <c r="E26" i="55"/>
  <c r="H26" i="54"/>
  <c r="G27" i="53"/>
  <c r="H26" i="53"/>
  <c r="E49" i="61"/>
  <c r="F49" i="61" s="1"/>
  <c r="G49" i="61" s="1"/>
  <c r="H49" i="61" s="1"/>
  <c r="I49" i="61" s="1"/>
  <c r="F18" i="60"/>
  <c r="E74" i="60" s="1"/>
  <c r="F74" i="60" s="1"/>
  <c r="G74" i="60" s="1"/>
  <c r="H74" i="60" s="1"/>
  <c r="I74" i="60" s="1"/>
  <c r="F18" i="58"/>
  <c r="E74" i="58" s="1"/>
  <c r="F74" i="58" s="1"/>
  <c r="G74" i="58" s="1"/>
  <c r="H74" i="58" s="1"/>
  <c r="I74" i="58" s="1"/>
  <c r="F11" i="59"/>
  <c r="E43" i="57"/>
  <c r="F43" i="57" s="1"/>
  <c r="G43" i="57" s="1"/>
  <c r="H43" i="57" s="1"/>
  <c r="I43" i="57" s="1"/>
  <c r="F109" i="56"/>
  <c r="F11" i="56"/>
  <c r="E48" i="54"/>
  <c r="F48" i="54" s="1"/>
  <c r="G48" i="54" s="1"/>
  <c r="H48" i="54" s="1"/>
  <c r="I48" i="54" s="1"/>
  <c r="E43" i="44"/>
  <c r="F43" i="44" s="1"/>
  <c r="G43" i="44" s="1"/>
  <c r="H43" i="44" s="1"/>
  <c r="I43" i="44" s="1"/>
  <c r="F109" i="45"/>
  <c r="E48" i="48"/>
  <c r="F48" i="48" s="1"/>
  <c r="G48" i="48" s="1"/>
  <c r="H48" i="48" s="1"/>
  <c r="I48" i="48" s="1"/>
  <c r="F110" i="48"/>
  <c r="E44" i="48"/>
  <c r="F44" i="48" s="1"/>
  <c r="G44" i="48" s="1"/>
  <c r="H44" i="48" s="1"/>
  <c r="I44" i="48" s="1"/>
  <c r="E96" i="48"/>
  <c r="F96" i="48" s="1"/>
  <c r="E95" i="48"/>
  <c r="E42" i="49"/>
  <c r="F42" i="49" s="1"/>
  <c r="G42" i="49" s="1"/>
  <c r="H42" i="49" s="1"/>
  <c r="I42" i="49" s="1"/>
  <c r="E45" i="51"/>
  <c r="F45" i="51" s="1"/>
  <c r="G45" i="51" s="1"/>
  <c r="H45" i="51" s="1"/>
  <c r="I45" i="51" s="1"/>
  <c r="F99" i="50"/>
  <c r="H26" i="52"/>
  <c r="G25" i="52"/>
  <c r="K26" i="50"/>
  <c r="K26" i="49"/>
  <c r="E25" i="49"/>
  <c r="J26" i="48"/>
  <c r="G25" i="48"/>
  <c r="E25" i="47"/>
  <c r="J26" i="46"/>
  <c r="G25" i="46"/>
  <c r="E25" i="45"/>
  <c r="H26" i="44"/>
  <c r="K26" i="42"/>
  <c r="E26" i="42"/>
  <c r="K26" i="41"/>
  <c r="E26" i="41"/>
  <c r="K27" i="61"/>
  <c r="G27" i="60"/>
  <c r="J26" i="60"/>
  <c r="G25" i="60"/>
  <c r="J25" i="59"/>
  <c r="E25" i="59"/>
  <c r="J26" i="58"/>
  <c r="G25" i="58"/>
  <c r="I27" i="57"/>
  <c r="J25" i="57"/>
  <c r="I27" i="56"/>
  <c r="H26" i="56"/>
  <c r="G25" i="55"/>
  <c r="D40" i="56"/>
  <c r="E45" i="60"/>
  <c r="F45" i="60" s="1"/>
  <c r="G45" i="60" s="1"/>
  <c r="H45" i="60" s="1"/>
  <c r="I45" i="60" s="1"/>
  <c r="F110" i="59"/>
  <c r="F109" i="59"/>
  <c r="F107" i="59"/>
  <c r="F95" i="59"/>
  <c r="F109" i="57"/>
  <c r="E43" i="55"/>
  <c r="F43" i="55" s="1"/>
  <c r="G43" i="55" s="1"/>
  <c r="H43" i="55" s="1"/>
  <c r="I43" i="55" s="1"/>
  <c r="F109" i="54"/>
  <c r="E42" i="53"/>
  <c r="F42" i="53" s="1"/>
  <c r="G42" i="53" s="1"/>
  <c r="H42" i="53" s="1"/>
  <c r="I42" i="53" s="1"/>
  <c r="F95" i="53"/>
  <c r="E43" i="41"/>
  <c r="F43" i="41" s="1"/>
  <c r="G43" i="41" s="1"/>
  <c r="H43" i="41" s="1"/>
  <c r="I43" i="41" s="1"/>
  <c r="F11" i="53"/>
  <c r="D90" i="53" s="1"/>
  <c r="F107" i="42"/>
  <c r="F18" i="42"/>
  <c r="E44" i="45"/>
  <c r="F44" i="45" s="1"/>
  <c r="G44" i="45" s="1"/>
  <c r="H44" i="45" s="1"/>
  <c r="I44" i="45" s="1"/>
  <c r="E43" i="46"/>
  <c r="F43" i="46" s="1"/>
  <c r="G43" i="46" s="1"/>
  <c r="H43" i="46" s="1"/>
  <c r="I43" i="46" s="1"/>
  <c r="F110" i="46"/>
  <c r="F108" i="48"/>
  <c r="F18" i="48"/>
  <c r="F108" i="49"/>
  <c r="F109" i="50"/>
  <c r="F108" i="51"/>
  <c r="F107" i="52"/>
  <c r="J27" i="51"/>
  <c r="J27" i="49"/>
  <c r="G26" i="48"/>
  <c r="G26" i="47"/>
  <c r="G26" i="46"/>
  <c r="G26" i="45"/>
  <c r="E25" i="53"/>
  <c r="E42" i="60"/>
  <c r="F42" i="60" s="1"/>
  <c r="G42" i="60" s="1"/>
  <c r="H42" i="60" s="1"/>
  <c r="I42" i="60" s="1"/>
  <c r="E43" i="58"/>
  <c r="F43" i="58" s="1"/>
  <c r="G43" i="58" s="1"/>
  <c r="H43" i="58" s="1"/>
  <c r="I43" i="58" s="1"/>
  <c r="D96" i="59"/>
  <c r="F96" i="59" s="1"/>
  <c r="E45" i="56"/>
  <c r="F45" i="56" s="1"/>
  <c r="G45" i="56" s="1"/>
  <c r="H45" i="56" s="1"/>
  <c r="I45" i="56" s="1"/>
  <c r="F17" i="56"/>
  <c r="E47" i="55"/>
  <c r="F47" i="55" s="1"/>
  <c r="G47" i="55" s="1"/>
  <c r="H47" i="55" s="1"/>
  <c r="I47" i="55" s="1"/>
  <c r="E44" i="55"/>
  <c r="F44" i="55" s="1"/>
  <c r="G44" i="55" s="1"/>
  <c r="H44" i="55" s="1"/>
  <c r="I44" i="55" s="1"/>
  <c r="F18" i="53"/>
  <c r="E45" i="41"/>
  <c r="F45" i="41" s="1"/>
  <c r="G45" i="41" s="1"/>
  <c r="H45" i="41" s="1"/>
  <c r="I45" i="41" s="1"/>
  <c r="E45" i="42"/>
  <c r="F45" i="42" s="1"/>
  <c r="G45" i="42" s="1"/>
  <c r="H45" i="42" s="1"/>
  <c r="I45" i="42" s="1"/>
  <c r="C40" i="44"/>
  <c r="F96" i="44"/>
  <c r="F17" i="41"/>
  <c r="D93" i="41"/>
  <c r="F93" i="41" s="1"/>
  <c r="D96" i="45"/>
  <c r="F96" i="45" s="1"/>
  <c r="E42" i="45"/>
  <c r="F42" i="45" s="1"/>
  <c r="G42" i="45" s="1"/>
  <c r="H42" i="45" s="1"/>
  <c r="I42" i="45" s="1"/>
  <c r="E43" i="47"/>
  <c r="F43" i="47" s="1"/>
  <c r="G43" i="47" s="1"/>
  <c r="H43" i="47" s="1"/>
  <c r="I43" i="47" s="1"/>
  <c r="F109" i="46"/>
  <c r="F101" i="47"/>
  <c r="E42" i="47"/>
  <c r="F42" i="47" s="1"/>
  <c r="G42" i="47" s="1"/>
  <c r="H42" i="47" s="1"/>
  <c r="I42" i="47" s="1"/>
  <c r="F17" i="47"/>
  <c r="D93" i="48"/>
  <c r="F93" i="48" s="1"/>
  <c r="E43" i="50"/>
  <c r="F43" i="50" s="1"/>
  <c r="G43" i="50" s="1"/>
  <c r="H43" i="50" s="1"/>
  <c r="I43" i="50" s="1"/>
  <c r="F107" i="49"/>
  <c r="F17" i="52"/>
  <c r="J27" i="52"/>
  <c r="J27" i="50"/>
  <c r="J27" i="48"/>
  <c r="J27" i="47"/>
  <c r="J27" i="46"/>
  <c r="G26" i="44"/>
  <c r="K26" i="60"/>
  <c r="G27" i="59"/>
  <c r="K26" i="59"/>
  <c r="G27" i="58"/>
  <c r="K26" i="58"/>
  <c r="J26" i="57"/>
  <c r="G25" i="57"/>
  <c r="J25" i="56"/>
  <c r="J26" i="55"/>
  <c r="J25" i="55"/>
  <c r="J26" i="54"/>
  <c r="I27" i="53"/>
  <c r="G25" i="53"/>
  <c r="E44" i="61"/>
  <c r="F44" i="61" s="1"/>
  <c r="G44" i="61" s="1"/>
  <c r="H44" i="61" s="1"/>
  <c r="I44" i="61" s="1"/>
  <c r="F96" i="61"/>
  <c r="E47" i="58"/>
  <c r="F47" i="58" s="1"/>
  <c r="G47" i="58" s="1"/>
  <c r="H47" i="58" s="1"/>
  <c r="I47" i="58" s="1"/>
  <c r="F107" i="58"/>
  <c r="F18" i="59"/>
  <c r="E74" i="59" s="1"/>
  <c r="F74" i="59" s="1"/>
  <c r="G74" i="59" s="1"/>
  <c r="H74" i="59" s="1"/>
  <c r="I74" i="59" s="1"/>
  <c r="F110" i="57"/>
  <c r="F99" i="57"/>
  <c r="E48" i="56"/>
  <c r="F48" i="56" s="1"/>
  <c r="G48" i="56" s="1"/>
  <c r="H48" i="56" s="1"/>
  <c r="I48" i="56" s="1"/>
  <c r="E42" i="44"/>
  <c r="F42" i="44" s="1"/>
  <c r="G42" i="44" s="1"/>
  <c r="H42" i="44" s="1"/>
  <c r="I42" i="44" s="1"/>
  <c r="F108" i="42"/>
  <c r="F11" i="45"/>
  <c r="D90" i="45" s="1"/>
  <c r="F109" i="49"/>
  <c r="F106" i="49"/>
  <c r="F96" i="51"/>
  <c r="F95" i="52"/>
  <c r="F18" i="52"/>
  <c r="G26" i="52"/>
  <c r="I26" i="51"/>
  <c r="I25" i="51"/>
  <c r="I25" i="49"/>
  <c r="I25" i="53"/>
  <c r="E88" i="1"/>
  <c r="D40" i="44"/>
  <c r="A109" i="63"/>
  <c r="D35" i="1"/>
  <c r="D40" i="41"/>
  <c r="E40" i="41" s="1"/>
  <c r="D40" i="47"/>
  <c r="E40" i="47" s="1"/>
  <c r="D40" i="49"/>
  <c r="D40" i="45"/>
  <c r="D40" i="50"/>
  <c r="D40" i="51"/>
  <c r="E93" i="57"/>
  <c r="D40" i="42"/>
  <c r="D41" i="61"/>
  <c r="E41" i="61" s="1"/>
  <c r="D40" i="54"/>
  <c r="F107" i="60"/>
  <c r="F110" i="55"/>
  <c r="F110" i="54"/>
  <c r="F110" i="44"/>
  <c r="F108" i="44"/>
  <c r="F106" i="44"/>
  <c r="F109" i="47"/>
  <c r="F109" i="53"/>
  <c r="F107" i="53"/>
  <c r="F108" i="59"/>
  <c r="F99" i="59"/>
  <c r="F108" i="57"/>
  <c r="F95" i="56"/>
  <c r="F96" i="54"/>
  <c r="K24" i="53"/>
  <c r="K24" i="54"/>
  <c r="K24" i="57"/>
  <c r="K24" i="58"/>
  <c r="K24" i="59"/>
  <c r="K24" i="60"/>
  <c r="K25" i="61"/>
  <c r="K24" i="41"/>
  <c r="G24" i="53"/>
  <c r="G24" i="54"/>
  <c r="G24" i="57"/>
  <c r="G24" i="58"/>
  <c r="G24" i="59"/>
  <c r="G24" i="60"/>
  <c r="G25" i="61"/>
  <c r="G24" i="41"/>
  <c r="H23" i="1"/>
  <c r="J23" i="1"/>
  <c r="E22" i="53"/>
  <c r="E22" i="55"/>
  <c r="G26" i="54"/>
  <c r="G26" i="42"/>
  <c r="I26" i="54"/>
  <c r="I26" i="53"/>
  <c r="J27" i="53"/>
  <c r="J27" i="41"/>
  <c r="J27" i="44"/>
  <c r="E45" i="61"/>
  <c r="F45" i="61" s="1"/>
  <c r="G45" i="61" s="1"/>
  <c r="H45" i="61" s="1"/>
  <c r="I45" i="61" s="1"/>
  <c r="E48" i="60"/>
  <c r="F48" i="60" s="1"/>
  <c r="G48" i="60" s="1"/>
  <c r="H48" i="60" s="1"/>
  <c r="I48" i="60" s="1"/>
  <c r="F109" i="61"/>
  <c r="F100" i="61"/>
  <c r="F18" i="61"/>
  <c r="F110" i="60"/>
  <c r="D95" i="60"/>
  <c r="F95" i="60" s="1"/>
  <c r="F11" i="60"/>
  <c r="D90" i="60" s="1"/>
  <c r="C86" i="1"/>
  <c r="D33" i="10" s="1"/>
  <c r="E47" i="59"/>
  <c r="F47" i="59" s="1"/>
  <c r="G47" i="59" s="1"/>
  <c r="H47" i="59" s="1"/>
  <c r="I47" i="59" s="1"/>
  <c r="C40" i="59"/>
  <c r="E48" i="58"/>
  <c r="F48" i="58" s="1"/>
  <c r="G48" i="58" s="1"/>
  <c r="H48" i="58" s="1"/>
  <c r="I48" i="58" s="1"/>
  <c r="F108" i="58"/>
  <c r="F17" i="58"/>
  <c r="F17" i="59"/>
  <c r="E44" i="57"/>
  <c r="F44" i="57" s="1"/>
  <c r="G44" i="57" s="1"/>
  <c r="H44" i="57" s="1"/>
  <c r="I44" i="57" s="1"/>
  <c r="E42" i="57"/>
  <c r="F42" i="57" s="1"/>
  <c r="G42" i="57" s="1"/>
  <c r="H42" i="57" s="1"/>
  <c r="I42" i="57" s="1"/>
  <c r="E47" i="56"/>
  <c r="F47" i="56" s="1"/>
  <c r="G47" i="56" s="1"/>
  <c r="H47" i="56" s="1"/>
  <c r="I47" i="56" s="1"/>
  <c r="C40" i="56"/>
  <c r="C40" i="55"/>
  <c r="E44" i="54"/>
  <c r="F44" i="54" s="1"/>
  <c r="G44" i="54" s="1"/>
  <c r="H44" i="54" s="1"/>
  <c r="I44" i="54" s="1"/>
  <c r="F107" i="55"/>
  <c r="F18" i="55"/>
  <c r="F18" i="54"/>
  <c r="F99" i="53"/>
  <c r="E47" i="41"/>
  <c r="F47" i="41" s="1"/>
  <c r="G47" i="41" s="1"/>
  <c r="H47" i="41" s="1"/>
  <c r="I47" i="41" s="1"/>
  <c r="E42" i="41"/>
  <c r="F42" i="41" s="1"/>
  <c r="G42" i="41" s="1"/>
  <c r="H42" i="41" s="1"/>
  <c r="I42" i="41" s="1"/>
  <c r="E44" i="42"/>
  <c r="F44" i="42" s="1"/>
  <c r="G44" i="42" s="1"/>
  <c r="H44" i="42" s="1"/>
  <c r="I44" i="42" s="1"/>
  <c r="E48" i="44"/>
  <c r="F48" i="44" s="1"/>
  <c r="G48" i="44" s="1"/>
  <c r="H48" i="44" s="1"/>
  <c r="I48" i="44" s="1"/>
  <c r="F110" i="42"/>
  <c r="F106" i="42"/>
  <c r="E43" i="42"/>
  <c r="F43" i="42" s="1"/>
  <c r="G43" i="42" s="1"/>
  <c r="H43" i="42" s="1"/>
  <c r="I43" i="42" s="1"/>
  <c r="E45" i="45"/>
  <c r="F45" i="45" s="1"/>
  <c r="G45" i="45" s="1"/>
  <c r="H45" i="45" s="1"/>
  <c r="I45" i="45" s="1"/>
  <c r="C40" i="45"/>
  <c r="F95" i="44"/>
  <c r="F18" i="41"/>
  <c r="F99" i="45"/>
  <c r="F17" i="45"/>
  <c r="F11" i="46"/>
  <c r="F106" i="46"/>
  <c r="E42" i="46"/>
  <c r="F42" i="46" s="1"/>
  <c r="G42" i="46" s="1"/>
  <c r="H42" i="46" s="1"/>
  <c r="I42" i="46" s="1"/>
  <c r="F106" i="47"/>
  <c r="F96" i="47"/>
  <c r="E48" i="49"/>
  <c r="F48" i="49" s="1"/>
  <c r="G48" i="49" s="1"/>
  <c r="H48" i="49" s="1"/>
  <c r="I48" i="49" s="1"/>
  <c r="E45" i="50"/>
  <c r="F45" i="50" s="1"/>
  <c r="G45" i="50" s="1"/>
  <c r="H45" i="50" s="1"/>
  <c r="I45" i="50" s="1"/>
  <c r="F110" i="49"/>
  <c r="F17" i="49"/>
  <c r="E44" i="51"/>
  <c r="F44" i="51" s="1"/>
  <c r="G44" i="51" s="1"/>
  <c r="H44" i="51" s="1"/>
  <c r="I44" i="51" s="1"/>
  <c r="F101" i="50"/>
  <c r="F17" i="50"/>
  <c r="F11" i="51"/>
  <c r="D90" i="51" s="1"/>
  <c r="D88" i="51" s="1"/>
  <c r="F88" i="51" s="1"/>
  <c r="E43" i="51"/>
  <c r="F43" i="51" s="1"/>
  <c r="G43" i="51" s="1"/>
  <c r="H43" i="51" s="1"/>
  <c r="I43" i="51" s="1"/>
  <c r="F93" i="51"/>
  <c r="J28" i="53"/>
  <c r="J28" i="55"/>
  <c r="J28" i="41"/>
  <c r="J28" i="44"/>
  <c r="F96" i="55"/>
  <c r="F106" i="54"/>
  <c r="F109" i="42"/>
  <c r="F99" i="44"/>
  <c r="F17" i="46"/>
  <c r="F11" i="49"/>
  <c r="D90" i="49" s="1"/>
  <c r="D86" i="49" s="1"/>
  <c r="F86" i="49" s="1"/>
  <c r="F108" i="50"/>
  <c r="F96" i="50"/>
  <c r="F11" i="50"/>
  <c r="D90" i="50" s="1"/>
  <c r="D87" i="50" s="1"/>
  <c r="F93" i="50"/>
  <c r="F107" i="51"/>
  <c r="F99" i="51"/>
  <c r="F109" i="52"/>
  <c r="I24" i="53"/>
  <c r="I24" i="55"/>
  <c r="E48" i="61"/>
  <c r="F48" i="61" s="1"/>
  <c r="G48" i="61" s="1"/>
  <c r="H48" i="61" s="1"/>
  <c r="I48" i="61" s="1"/>
  <c r="F110" i="61"/>
  <c r="F100" i="60"/>
  <c r="E44" i="59"/>
  <c r="F44" i="59" s="1"/>
  <c r="G44" i="59" s="1"/>
  <c r="H44" i="59" s="1"/>
  <c r="I44" i="59" s="1"/>
  <c r="E42" i="58"/>
  <c r="F42" i="58" s="1"/>
  <c r="G42" i="58" s="1"/>
  <c r="H42" i="58" s="1"/>
  <c r="I42" i="58" s="1"/>
  <c r="D93" i="58"/>
  <c r="E42" i="59"/>
  <c r="F42" i="59" s="1"/>
  <c r="G42" i="59" s="1"/>
  <c r="H42" i="59" s="1"/>
  <c r="I42" i="59" s="1"/>
  <c r="D93" i="59"/>
  <c r="F93" i="59" s="1"/>
  <c r="F107" i="57"/>
  <c r="F101" i="57"/>
  <c r="E96" i="57"/>
  <c r="F96" i="57" s="1"/>
  <c r="F18" i="57"/>
  <c r="E42" i="56"/>
  <c r="F42" i="56" s="1"/>
  <c r="G42" i="56" s="1"/>
  <c r="H42" i="56" s="1"/>
  <c r="I42" i="56" s="1"/>
  <c r="E48" i="55"/>
  <c r="F48" i="55" s="1"/>
  <c r="G48" i="55" s="1"/>
  <c r="H48" i="55" s="1"/>
  <c r="I48" i="55" s="1"/>
  <c r="F109" i="55"/>
  <c r="F108" i="55"/>
  <c r="E99" i="55"/>
  <c r="F99" i="55" s="1"/>
  <c r="F93" i="55"/>
  <c r="F101" i="42"/>
  <c r="D95" i="42"/>
  <c r="F95" i="42" s="1"/>
  <c r="F11" i="42"/>
  <c r="D90" i="42" s="1"/>
  <c r="F11" i="44"/>
  <c r="D90" i="44" s="1"/>
  <c r="D88" i="44" s="1"/>
  <c r="F88" i="44" s="1"/>
  <c r="F18" i="44"/>
  <c r="F107" i="45"/>
  <c r="F106" i="45"/>
  <c r="F108" i="46"/>
  <c r="F107" i="46"/>
  <c r="F99" i="46"/>
  <c r="F11" i="48"/>
  <c r="D99" i="48"/>
  <c r="F99" i="48" s="1"/>
  <c r="E95" i="49"/>
  <c r="F95" i="49" s="1"/>
  <c r="F107" i="50"/>
  <c r="F95" i="50"/>
  <c r="F110" i="51"/>
  <c r="F106" i="51"/>
  <c r="H28" i="54"/>
  <c r="H28" i="53"/>
  <c r="H28" i="42"/>
  <c r="E78" i="52"/>
  <c r="E78" i="51"/>
  <c r="E78" i="49"/>
  <c r="E78" i="48"/>
  <c r="E78" i="46"/>
  <c r="E78" i="45"/>
  <c r="E78" i="44"/>
  <c r="E78" i="42"/>
  <c r="E78" i="57"/>
  <c r="E78" i="56"/>
  <c r="E78" i="54"/>
  <c r="E78" i="53"/>
  <c r="F111" i="61"/>
  <c r="F97" i="61"/>
  <c r="C40" i="58"/>
  <c r="E40" i="58" s="1"/>
  <c r="F106" i="59"/>
  <c r="F106" i="57"/>
  <c r="F107" i="56"/>
  <c r="F18" i="56"/>
  <c r="F95" i="55"/>
  <c r="F99" i="54"/>
  <c r="F93" i="54"/>
  <c r="F17" i="44"/>
  <c r="F17" i="51"/>
  <c r="F100" i="52"/>
  <c r="K29" i="61"/>
  <c r="G29" i="61"/>
  <c r="K28" i="60"/>
  <c r="G28" i="60"/>
  <c r="K28" i="59"/>
  <c r="G28" i="59"/>
  <c r="K28" i="58"/>
  <c r="G28" i="58"/>
  <c r="K28" i="57"/>
  <c r="G28" i="57"/>
  <c r="K27" i="57"/>
  <c r="K28" i="56"/>
  <c r="G28" i="56"/>
  <c r="J24" i="56"/>
  <c r="F23" i="56"/>
  <c r="I28" i="54"/>
  <c r="K26" i="54"/>
  <c r="H25" i="54"/>
  <c r="D78" i="52"/>
  <c r="F74" i="1"/>
  <c r="D74" i="1"/>
  <c r="E75" i="52"/>
  <c r="E93" i="58"/>
  <c r="D40" i="46"/>
  <c r="E40" i="46" s="1"/>
  <c r="D40" i="48"/>
  <c r="E40" i="48" s="1"/>
  <c r="F94" i="61"/>
  <c r="F108" i="60"/>
  <c r="D96" i="60"/>
  <c r="F96" i="60" s="1"/>
  <c r="E43" i="60"/>
  <c r="F43" i="60" s="1"/>
  <c r="G43" i="60" s="1"/>
  <c r="H43" i="60" s="1"/>
  <c r="I43" i="60" s="1"/>
  <c r="E43" i="61"/>
  <c r="F43" i="61" s="1"/>
  <c r="G43" i="61" s="1"/>
  <c r="H43" i="61" s="1"/>
  <c r="I43" i="61" s="1"/>
  <c r="E44" i="60"/>
  <c r="F44" i="60" s="1"/>
  <c r="G44" i="60" s="1"/>
  <c r="H44" i="60" s="1"/>
  <c r="I44" i="60" s="1"/>
  <c r="D40" i="60"/>
  <c r="E40" i="60" s="1"/>
  <c r="F110" i="56"/>
  <c r="F106" i="56"/>
  <c r="F110" i="58"/>
  <c r="F106" i="58"/>
  <c r="F109" i="60"/>
  <c r="F108" i="56"/>
  <c r="F108" i="61"/>
  <c r="F19" i="61"/>
  <c r="F17" i="60"/>
  <c r="D95" i="54"/>
  <c r="F95" i="54" s="1"/>
  <c r="E42" i="54"/>
  <c r="F42" i="54" s="1"/>
  <c r="G42" i="54" s="1"/>
  <c r="H42" i="54" s="1"/>
  <c r="I42" i="54" s="1"/>
  <c r="D40" i="59"/>
  <c r="F97" i="57"/>
  <c r="D95" i="57"/>
  <c r="F95" i="57" s="1"/>
  <c r="E43" i="56"/>
  <c r="F43" i="56" s="1"/>
  <c r="G43" i="56" s="1"/>
  <c r="H43" i="56" s="1"/>
  <c r="I43" i="56" s="1"/>
  <c r="D99" i="56"/>
  <c r="F99" i="56" s="1"/>
  <c r="D93" i="56"/>
  <c r="E42" i="55"/>
  <c r="F42" i="55" s="1"/>
  <c r="G42" i="55" s="1"/>
  <c r="H42" i="55" s="1"/>
  <c r="I42" i="55" s="1"/>
  <c r="E44" i="53"/>
  <c r="F44" i="53" s="1"/>
  <c r="G44" i="53" s="1"/>
  <c r="H44" i="53" s="1"/>
  <c r="I44" i="53" s="1"/>
  <c r="F99" i="42"/>
  <c r="F109" i="44"/>
  <c r="F107" i="41"/>
  <c r="E93" i="53"/>
  <c r="F93" i="53" s="1"/>
  <c r="D40" i="53"/>
  <c r="F106" i="55"/>
  <c r="F110" i="53"/>
  <c r="F107" i="44"/>
  <c r="F109" i="41"/>
  <c r="F95" i="41"/>
  <c r="E43" i="53"/>
  <c r="F43" i="53" s="1"/>
  <c r="G43" i="53" s="1"/>
  <c r="H43" i="53" s="1"/>
  <c r="I43" i="53" s="1"/>
  <c r="D96" i="53"/>
  <c r="F96" i="53" s="1"/>
  <c r="D99" i="49"/>
  <c r="F99" i="49" s="1"/>
  <c r="E44" i="49"/>
  <c r="F44" i="49" s="1"/>
  <c r="G44" i="49" s="1"/>
  <c r="H44" i="49" s="1"/>
  <c r="I44" i="49" s="1"/>
  <c r="E45" i="44"/>
  <c r="F45" i="44" s="1"/>
  <c r="G45" i="44" s="1"/>
  <c r="H45" i="44" s="1"/>
  <c r="I45" i="44" s="1"/>
  <c r="D96" i="42"/>
  <c r="F96" i="42" s="1"/>
  <c r="F93" i="42"/>
  <c r="E48" i="45"/>
  <c r="F48" i="45" s="1"/>
  <c r="G48" i="45" s="1"/>
  <c r="H48" i="45" s="1"/>
  <c r="I48" i="45" s="1"/>
  <c r="F100" i="44"/>
  <c r="E44" i="46"/>
  <c r="F44" i="46" s="1"/>
  <c r="G44" i="46" s="1"/>
  <c r="H44" i="46" s="1"/>
  <c r="I44" i="46" s="1"/>
  <c r="E95" i="45"/>
  <c r="F95" i="45" s="1"/>
  <c r="F100" i="46"/>
  <c r="D95" i="46"/>
  <c r="F95" i="46" s="1"/>
  <c r="F18" i="46"/>
  <c r="D93" i="46"/>
  <c r="F95" i="51"/>
  <c r="F110" i="52"/>
  <c r="F106" i="52"/>
  <c r="F99" i="52"/>
  <c r="D99" i="47"/>
  <c r="F99" i="47" s="1"/>
  <c r="E44" i="47"/>
  <c r="F44" i="47" s="1"/>
  <c r="G44" i="47" s="1"/>
  <c r="H44" i="47" s="1"/>
  <c r="I44" i="47" s="1"/>
  <c r="F93" i="44"/>
  <c r="F108" i="45"/>
  <c r="F93" i="45"/>
  <c r="F107" i="47"/>
  <c r="F109" i="48"/>
  <c r="F95" i="48"/>
  <c r="D93" i="47"/>
  <c r="F18" i="47"/>
  <c r="C40" i="54"/>
  <c r="F18" i="45"/>
  <c r="F97" i="46"/>
  <c r="F106" i="48"/>
  <c r="F108" i="52"/>
  <c r="F96" i="52"/>
  <c r="F93" i="52"/>
  <c r="E43" i="49"/>
  <c r="F43" i="49" s="1"/>
  <c r="G43" i="49" s="1"/>
  <c r="H43" i="49" s="1"/>
  <c r="I43" i="49" s="1"/>
  <c r="F18" i="49"/>
  <c r="E48" i="51"/>
  <c r="F48" i="51" s="1"/>
  <c r="G48" i="51" s="1"/>
  <c r="H48" i="51" s="1"/>
  <c r="I48" i="51" s="1"/>
  <c r="F18" i="50"/>
  <c r="E44" i="52"/>
  <c r="F44" i="52" s="1"/>
  <c r="G44" i="52" s="1"/>
  <c r="H44" i="52" s="1"/>
  <c r="I44" i="52" s="1"/>
  <c r="J28" i="61"/>
  <c r="J27" i="60"/>
  <c r="J27" i="59"/>
  <c r="J27" i="58"/>
  <c r="J27" i="57"/>
  <c r="J27" i="56"/>
  <c r="J27" i="55"/>
  <c r="J27" i="54"/>
  <c r="G26" i="53"/>
  <c r="C40" i="50"/>
  <c r="F93" i="49"/>
  <c r="F100" i="51"/>
  <c r="G26" i="41"/>
  <c r="G27" i="61"/>
  <c r="G26" i="60"/>
  <c r="G26" i="59"/>
  <c r="G26" i="58"/>
  <c r="G26" i="57"/>
  <c r="G26" i="56"/>
  <c r="G26" i="55"/>
  <c r="C40" i="49"/>
  <c r="E44" i="50"/>
  <c r="F44" i="50" s="1"/>
  <c r="G44" i="50" s="1"/>
  <c r="H44" i="50" s="1"/>
  <c r="I44" i="50" s="1"/>
  <c r="E43" i="52"/>
  <c r="F43" i="52" s="1"/>
  <c r="G43" i="52" s="1"/>
  <c r="H43" i="52" s="1"/>
  <c r="I43" i="52" s="1"/>
  <c r="D40" i="52"/>
  <c r="I26" i="48"/>
  <c r="I25" i="48"/>
  <c r="I26" i="47"/>
  <c r="I25" i="47"/>
  <c r="I26" i="46"/>
  <c r="I25" i="46"/>
  <c r="I26" i="45"/>
  <c r="I25" i="45"/>
  <c r="I26" i="44"/>
  <c r="I25" i="44"/>
  <c r="I26" i="42"/>
  <c r="I25" i="42"/>
  <c r="I26" i="41"/>
  <c r="I25" i="41"/>
  <c r="I27" i="61"/>
  <c r="I26" i="61"/>
  <c r="I26" i="60"/>
  <c r="I25" i="60"/>
  <c r="I26" i="59"/>
  <c r="I25" i="59"/>
  <c r="I26" i="58"/>
  <c r="I25" i="58"/>
  <c r="I26" i="57"/>
  <c r="I25" i="57"/>
  <c r="I26" i="56"/>
  <c r="I25" i="56"/>
  <c r="E25" i="56"/>
  <c r="I26" i="55"/>
  <c r="I25" i="55"/>
  <c r="E25" i="55"/>
  <c r="C36" i="10" l="1"/>
  <c r="F87" i="50"/>
  <c r="F22" i="42"/>
  <c r="F22" i="55"/>
  <c r="F22" i="54"/>
  <c r="F22" i="58"/>
  <c r="F22" i="47"/>
  <c r="F22" i="53"/>
  <c r="F22" i="48"/>
  <c r="F22" i="56"/>
  <c r="F22" i="59"/>
  <c r="E78" i="55"/>
  <c r="E78" i="47"/>
  <c r="E78" i="58"/>
  <c r="E78" i="41"/>
  <c r="E78" i="50"/>
  <c r="F22" i="50"/>
  <c r="F22" i="44"/>
  <c r="F22" i="41"/>
  <c r="F23" i="61"/>
  <c r="F22" i="49"/>
  <c r="F22" i="52"/>
  <c r="F22" i="46"/>
  <c r="F22" i="60"/>
  <c r="F22" i="51"/>
  <c r="F22" i="45"/>
  <c r="E33" i="10"/>
  <c r="D32" i="10"/>
  <c r="D31" i="10"/>
  <c r="D30" i="10"/>
  <c r="E30" i="10" s="1"/>
  <c r="A35" i="10"/>
  <c r="B36" i="10"/>
  <c r="D34" i="10"/>
  <c r="E34" i="10" s="1"/>
  <c r="A28" i="10"/>
  <c r="F28" i="10" s="1"/>
  <c r="D29" i="10"/>
  <c r="E29" i="10" s="1"/>
  <c r="C29" i="10"/>
  <c r="B29" i="10"/>
  <c r="B31" i="8"/>
  <c r="D14" i="10"/>
  <c r="D17" i="10"/>
  <c r="D10" i="10"/>
  <c r="D11" i="10"/>
  <c r="D12" i="10"/>
  <c r="D9" i="10"/>
  <c r="D19" i="10"/>
  <c r="D18" i="10"/>
  <c r="D21" i="10"/>
  <c r="E21" i="10" s="1"/>
  <c r="D15" i="10"/>
  <c r="E15" i="10" s="1"/>
  <c r="D16" i="10"/>
  <c r="E16" i="10" s="1"/>
  <c r="D7" i="10"/>
  <c r="E7" i="10" s="1"/>
  <c r="D8" i="10"/>
  <c r="D13" i="10"/>
  <c r="D20" i="10"/>
  <c r="A34" i="8"/>
  <c r="A27" i="8"/>
  <c r="A29" i="8"/>
  <c r="A25" i="8"/>
  <c r="A35" i="8"/>
  <c r="A38" i="8"/>
  <c r="A36" i="8"/>
  <c r="A37" i="8"/>
  <c r="A33" i="8"/>
  <c r="A30" i="8"/>
  <c r="A26" i="8"/>
  <c r="A24" i="8"/>
  <c r="A32" i="8"/>
  <c r="A28" i="8"/>
  <c r="B19" i="8"/>
  <c r="B15" i="8"/>
  <c r="B11" i="8"/>
  <c r="B7" i="8"/>
  <c r="B18" i="8"/>
  <c r="B14" i="8"/>
  <c r="B10" i="8"/>
  <c r="B6" i="8"/>
  <c r="B17" i="8"/>
  <c r="B13" i="8"/>
  <c r="B9" i="8"/>
  <c r="B5" i="8"/>
  <c r="B16" i="8"/>
  <c r="B12" i="8"/>
  <c r="B8" i="8"/>
  <c r="D30" i="64"/>
  <c r="D31" i="64"/>
  <c r="A33" i="64"/>
  <c r="D33" i="64" s="1"/>
  <c r="H23" i="54"/>
  <c r="H23" i="56"/>
  <c r="H23" i="48"/>
  <c r="H30" i="1"/>
  <c r="D61" i="1" s="1"/>
  <c r="H23" i="49"/>
  <c r="H24" i="61"/>
  <c r="H23" i="59"/>
  <c r="H23" i="57"/>
  <c r="H23" i="55"/>
  <c r="H23" i="50"/>
  <c r="H23" i="47"/>
  <c r="H23" i="44"/>
  <c r="C30" i="64"/>
  <c r="B30" i="64"/>
  <c r="F14" i="59"/>
  <c r="B34" i="64"/>
  <c r="A29" i="64"/>
  <c r="D29" i="64" s="1"/>
  <c r="D41" i="1"/>
  <c r="E41" i="1" s="1"/>
  <c r="F41" i="1" s="1"/>
  <c r="G41" i="1" s="1"/>
  <c r="H41" i="1" s="1"/>
  <c r="C34" i="64"/>
  <c r="F13" i="56"/>
  <c r="F13" i="57"/>
  <c r="F15" i="59"/>
  <c r="H23" i="46"/>
  <c r="H23" i="52"/>
  <c r="H23" i="41"/>
  <c r="H23" i="58"/>
  <c r="H23" i="45"/>
  <c r="H23" i="42"/>
  <c r="H23" i="51"/>
  <c r="H23" i="53"/>
  <c r="A29" i="63"/>
  <c r="B29" i="63" s="1"/>
  <c r="C29" i="63" s="1"/>
  <c r="A28" i="63"/>
  <c r="B28" i="63" s="1"/>
  <c r="C28" i="63" s="1"/>
  <c r="A33" i="63"/>
  <c r="B33" i="63" s="1"/>
  <c r="A30" i="63"/>
  <c r="B30" i="63" s="1"/>
  <c r="C30" i="63" s="1"/>
  <c r="A34" i="63"/>
  <c r="B34" i="63" s="1"/>
  <c r="C34" i="63" s="1"/>
  <c r="A35" i="63"/>
  <c r="B35" i="63" s="1"/>
  <c r="C35" i="63" s="1"/>
  <c r="A24" i="63"/>
  <c r="B24" i="63" s="1"/>
  <c r="C24" i="63" s="1"/>
  <c r="A25" i="63"/>
  <c r="B25" i="63" s="1"/>
  <c r="C25" i="63" s="1"/>
  <c r="A36" i="63"/>
  <c r="B36" i="63" s="1"/>
  <c r="C36" i="63" s="1"/>
  <c r="A26" i="63"/>
  <c r="B26" i="63" s="1"/>
  <c r="C26" i="63" s="1"/>
  <c r="A37" i="63"/>
  <c r="B37" i="63" s="1"/>
  <c r="C37" i="63" s="1"/>
  <c r="A27" i="63"/>
  <c r="B27" i="63" s="1"/>
  <c r="C27" i="63" s="1"/>
  <c r="A38" i="63"/>
  <c r="F86" i="52"/>
  <c r="K30" i="1"/>
  <c r="I30" i="1"/>
  <c r="E61" i="1" s="1"/>
  <c r="D21" i="64"/>
  <c r="E21" i="64" s="1"/>
  <c r="D12" i="64"/>
  <c r="E12" i="64" s="1"/>
  <c r="D8" i="64"/>
  <c r="E8" i="64" s="1"/>
  <c r="D20" i="64"/>
  <c r="E20" i="64" s="1"/>
  <c r="D16" i="64"/>
  <c r="E16" i="64" s="1"/>
  <c r="D11" i="64"/>
  <c r="E11" i="64" s="1"/>
  <c r="D7" i="64"/>
  <c r="E7" i="64" s="1"/>
  <c r="D19" i="64"/>
  <c r="E19" i="64" s="1"/>
  <c r="D15" i="64"/>
  <c r="E15" i="64" s="1"/>
  <c r="D10" i="64"/>
  <c r="E10" i="64" s="1"/>
  <c r="D18" i="64"/>
  <c r="E18" i="64" s="1"/>
  <c r="D13" i="64"/>
  <c r="E13" i="64" s="1"/>
  <c r="D9" i="64"/>
  <c r="E9" i="64" s="1"/>
  <c r="D17" i="64"/>
  <c r="E17" i="64" s="1"/>
  <c r="B31" i="63"/>
  <c r="B32" i="63"/>
  <c r="C32" i="63" s="1"/>
  <c r="B19" i="63"/>
  <c r="B18" i="63"/>
  <c r="B17" i="63"/>
  <c r="B16" i="63"/>
  <c r="B15" i="63"/>
  <c r="B14" i="63"/>
  <c r="B13" i="63"/>
  <c r="B6" i="63"/>
  <c r="B7" i="63"/>
  <c r="B8" i="63"/>
  <c r="B9" i="63"/>
  <c r="B10" i="63"/>
  <c r="B11" i="63"/>
  <c r="B5" i="63"/>
  <c r="B12" i="63"/>
  <c r="E74" i="54"/>
  <c r="E74" i="46"/>
  <c r="J30" i="1"/>
  <c r="F61" i="1" s="1"/>
  <c r="G30" i="1"/>
  <c r="E79" i="44"/>
  <c r="E79" i="46"/>
  <c r="E72" i="1"/>
  <c r="E75" i="45"/>
  <c r="E75" i="44"/>
  <c r="E75" i="42"/>
  <c r="E75" i="54"/>
  <c r="E75" i="41"/>
  <c r="E75" i="56"/>
  <c r="E75" i="55"/>
  <c r="E75" i="53"/>
  <c r="E75" i="48"/>
  <c r="E76" i="61"/>
  <c r="E75" i="51"/>
  <c r="E75" i="46"/>
  <c r="E75" i="49"/>
  <c r="E75" i="57"/>
  <c r="E75" i="50"/>
  <c r="E74" i="57"/>
  <c r="E74" i="49"/>
  <c r="E79" i="54"/>
  <c r="E79" i="50"/>
  <c r="E74" i="41"/>
  <c r="E74" i="42"/>
  <c r="E74" i="51"/>
  <c r="E74" i="50"/>
  <c r="E74" i="44"/>
  <c r="E74" i="52"/>
  <c r="E74" i="53"/>
  <c r="E74" i="45"/>
  <c r="E71" i="1"/>
  <c r="F74" i="50" s="1"/>
  <c r="E74" i="55"/>
  <c r="E74" i="47"/>
  <c r="E74" i="56"/>
  <c r="E74" i="48"/>
  <c r="E40" i="42"/>
  <c r="E40" i="53"/>
  <c r="D90" i="58"/>
  <c r="D87" i="58" s="1"/>
  <c r="F87" i="58" s="1"/>
  <c r="E73" i="55"/>
  <c r="E73" i="56"/>
  <c r="E40" i="52"/>
  <c r="E73" i="50"/>
  <c r="E73" i="51"/>
  <c r="E73" i="52"/>
  <c r="E73" i="41"/>
  <c r="E73" i="45"/>
  <c r="E73" i="48"/>
  <c r="E73" i="49"/>
  <c r="E73" i="57"/>
  <c r="E73" i="42"/>
  <c r="E70" i="1"/>
  <c r="F73" i="46" s="1"/>
  <c r="K22" i="53"/>
  <c r="E73" i="44"/>
  <c r="E73" i="53"/>
  <c r="E73" i="47"/>
  <c r="E73" i="54"/>
  <c r="E73" i="46"/>
  <c r="C41" i="53"/>
  <c r="E41" i="53" s="1"/>
  <c r="F41" i="53" s="1"/>
  <c r="G41" i="53" s="1"/>
  <c r="H41" i="53" s="1"/>
  <c r="D90" i="47"/>
  <c r="D87" i="47" s="1"/>
  <c r="F87" i="47" s="1"/>
  <c r="D90" i="57"/>
  <c r="D90" i="46"/>
  <c r="D88" i="46" s="1"/>
  <c r="F88" i="46" s="1"/>
  <c r="D94" i="51"/>
  <c r="F94" i="51" s="1"/>
  <c r="D94" i="48"/>
  <c r="F94" i="48" s="1"/>
  <c r="D94" i="55"/>
  <c r="F94" i="55" s="1"/>
  <c r="F77" i="56"/>
  <c r="I77" i="48"/>
  <c r="I77" i="49"/>
  <c r="I77" i="46"/>
  <c r="I77" i="54"/>
  <c r="I77" i="55"/>
  <c r="F77" i="58"/>
  <c r="I77" i="45"/>
  <c r="I77" i="41"/>
  <c r="I76" i="55"/>
  <c r="I76" i="52"/>
  <c r="E79" i="47"/>
  <c r="E79" i="49"/>
  <c r="E79" i="55"/>
  <c r="E79" i="52"/>
  <c r="E79" i="57"/>
  <c r="E79" i="41"/>
  <c r="J23" i="54"/>
  <c r="K22" i="58"/>
  <c r="J23" i="42"/>
  <c r="I78" i="61"/>
  <c r="I77" i="53"/>
  <c r="I77" i="57"/>
  <c r="H77" i="50"/>
  <c r="I77" i="59"/>
  <c r="I77" i="50"/>
  <c r="F76" i="54"/>
  <c r="G77" i="61"/>
  <c r="F76" i="45"/>
  <c r="I76" i="44"/>
  <c r="I76" i="42"/>
  <c r="I76" i="50"/>
  <c r="I76" i="41"/>
  <c r="I76" i="57"/>
  <c r="I76" i="58"/>
  <c r="I76" i="59"/>
  <c r="F78" i="61"/>
  <c r="F77" i="51"/>
  <c r="F77" i="53"/>
  <c r="H77" i="41"/>
  <c r="F77" i="49"/>
  <c r="I77" i="47"/>
  <c r="I77" i="56"/>
  <c r="I77" i="42"/>
  <c r="F77" i="45"/>
  <c r="F77" i="50"/>
  <c r="F77" i="60"/>
  <c r="F77" i="42"/>
  <c r="F77" i="48"/>
  <c r="F77" i="54"/>
  <c r="F77" i="57"/>
  <c r="F77" i="46"/>
  <c r="F77" i="55"/>
  <c r="F77" i="44"/>
  <c r="F77" i="41"/>
  <c r="H77" i="51"/>
  <c r="H77" i="42"/>
  <c r="F77" i="59"/>
  <c r="F77" i="47"/>
  <c r="I77" i="51"/>
  <c r="I77" i="60"/>
  <c r="I77" i="44"/>
  <c r="I77" i="58"/>
  <c r="H77" i="45"/>
  <c r="H77" i="54"/>
  <c r="H77" i="46"/>
  <c r="H77" i="52"/>
  <c r="H77" i="59"/>
  <c r="H77" i="58"/>
  <c r="H78" i="61"/>
  <c r="H77" i="60"/>
  <c r="H77" i="44"/>
  <c r="H77" i="53"/>
  <c r="H77" i="55"/>
  <c r="H77" i="56"/>
  <c r="H77" i="48"/>
  <c r="H77" i="57"/>
  <c r="H77" i="49"/>
  <c r="I76" i="51"/>
  <c r="I76" i="47"/>
  <c r="I76" i="60"/>
  <c r="G76" i="58"/>
  <c r="I76" i="45"/>
  <c r="I76" i="53"/>
  <c r="I76" i="48"/>
  <c r="I76" i="54"/>
  <c r="I76" i="56"/>
  <c r="G76" i="45"/>
  <c r="I76" i="46"/>
  <c r="I77" i="61"/>
  <c r="C46" i="54"/>
  <c r="E46" i="54" s="1"/>
  <c r="F46" i="54" s="1"/>
  <c r="G46" i="54" s="1"/>
  <c r="H46" i="54" s="1"/>
  <c r="I46" i="54" s="1"/>
  <c r="G22" i="60"/>
  <c r="D87" i="49"/>
  <c r="F87" i="49" s="1"/>
  <c r="G22" i="58"/>
  <c r="K22" i="41"/>
  <c r="G22" i="57"/>
  <c r="K23" i="61"/>
  <c r="E40" i="51"/>
  <c r="C41" i="57"/>
  <c r="E41" i="57" s="1"/>
  <c r="F41" i="57" s="1"/>
  <c r="G41" i="57" s="1"/>
  <c r="K22" i="60"/>
  <c r="K22" i="59"/>
  <c r="G23" i="60"/>
  <c r="K22" i="57"/>
  <c r="B61" i="1"/>
  <c r="G23" i="42"/>
  <c r="D94" i="50"/>
  <c r="F94" i="50" s="1"/>
  <c r="C46" i="57"/>
  <c r="D98" i="57" s="1"/>
  <c r="F98" i="57" s="1"/>
  <c r="G23" i="49"/>
  <c r="D87" i="51"/>
  <c r="F87" i="51" s="1"/>
  <c r="C46" i="44"/>
  <c r="D98" i="44" s="1"/>
  <c r="F98" i="44" s="1"/>
  <c r="C41" i="58"/>
  <c r="E41" i="58" s="1"/>
  <c r="F41" i="58" s="1"/>
  <c r="G41" i="58" s="1"/>
  <c r="C46" i="41"/>
  <c r="E46" i="41" s="1"/>
  <c r="G23" i="51"/>
  <c r="G23" i="50"/>
  <c r="C41" i="41"/>
  <c r="E41" i="41" s="1"/>
  <c r="F41" i="41" s="1"/>
  <c r="G41" i="41" s="1"/>
  <c r="D94" i="57"/>
  <c r="F94" i="57" s="1"/>
  <c r="D86" i="51"/>
  <c r="F86" i="51" s="1"/>
  <c r="D94" i="53"/>
  <c r="F94" i="53" s="1"/>
  <c r="C41" i="51"/>
  <c r="E41" i="51" s="1"/>
  <c r="F41" i="51" s="1"/>
  <c r="G41" i="51" s="1"/>
  <c r="C46" i="53"/>
  <c r="E46" i="53" s="1"/>
  <c r="F46" i="53" s="1"/>
  <c r="G46" i="53" s="1"/>
  <c r="H46" i="53" s="1"/>
  <c r="I46" i="53" s="1"/>
  <c r="D94" i="42"/>
  <c r="F94" i="42" s="1"/>
  <c r="C46" i="51"/>
  <c r="E46" i="51" s="1"/>
  <c r="D94" i="47"/>
  <c r="F94" i="47" s="1"/>
  <c r="E40" i="59"/>
  <c r="D94" i="56"/>
  <c r="F94" i="56" s="1"/>
  <c r="C46" i="48"/>
  <c r="E46" i="48" s="1"/>
  <c r="F46" i="48" s="1"/>
  <c r="G46" i="48" s="1"/>
  <c r="H46" i="48" s="1"/>
  <c r="I46" i="48" s="1"/>
  <c r="D88" i="49"/>
  <c r="F88" i="49" s="1"/>
  <c r="C46" i="55"/>
  <c r="D98" i="55" s="1"/>
  <c r="F98" i="55" s="1"/>
  <c r="C41" i="59"/>
  <c r="E41" i="59" s="1"/>
  <c r="F41" i="59" s="1"/>
  <c r="G41" i="59" s="1"/>
  <c r="H41" i="59" s="1"/>
  <c r="E40" i="55"/>
  <c r="E40" i="45"/>
  <c r="F93" i="58"/>
  <c r="E40" i="56"/>
  <c r="G23" i="41"/>
  <c r="D88" i="52"/>
  <c r="F88" i="52" s="1"/>
  <c r="C41" i="48"/>
  <c r="E41" i="48" s="1"/>
  <c r="F41" i="48" s="1"/>
  <c r="G41" i="48" s="1"/>
  <c r="D95" i="61"/>
  <c r="F95" i="61" s="1"/>
  <c r="E73" i="59"/>
  <c r="F73" i="59" s="1"/>
  <c r="G22" i="59"/>
  <c r="G23" i="45"/>
  <c r="G23" i="46"/>
  <c r="G23" i="53"/>
  <c r="C41" i="55"/>
  <c r="E41" i="55" s="1"/>
  <c r="F41" i="55" s="1"/>
  <c r="G41" i="55" s="1"/>
  <c r="I22" i="53"/>
  <c r="D90" i="41"/>
  <c r="D88" i="41" s="1"/>
  <c r="F88" i="41" s="1"/>
  <c r="G22" i="53"/>
  <c r="C46" i="52"/>
  <c r="D98" i="52" s="1"/>
  <c r="F98" i="52" s="1"/>
  <c r="G24" i="61"/>
  <c r="G23" i="47"/>
  <c r="G22" i="41"/>
  <c r="G23" i="59"/>
  <c r="G23" i="44"/>
  <c r="J23" i="53"/>
  <c r="J23" i="47"/>
  <c r="J23" i="49"/>
  <c r="J23" i="60"/>
  <c r="J23" i="41"/>
  <c r="J23" i="51"/>
  <c r="J23" i="45"/>
  <c r="J24" i="61"/>
  <c r="J23" i="46"/>
  <c r="J23" i="59"/>
  <c r="J23" i="50"/>
  <c r="J23" i="55"/>
  <c r="J23" i="58"/>
  <c r="J23" i="44"/>
  <c r="J23" i="48"/>
  <c r="J23" i="52"/>
  <c r="J23" i="57"/>
  <c r="E97" i="1"/>
  <c r="D94" i="46"/>
  <c r="F94" i="46" s="1"/>
  <c r="D94" i="49"/>
  <c r="F94" i="49" s="1"/>
  <c r="D90" i="48"/>
  <c r="D86" i="48" s="1"/>
  <c r="F86" i="48" s="1"/>
  <c r="G23" i="61"/>
  <c r="G23" i="58"/>
  <c r="G23" i="57"/>
  <c r="G23" i="56"/>
  <c r="G23" i="52"/>
  <c r="G23" i="48"/>
  <c r="G23" i="55"/>
  <c r="I78" i="53"/>
  <c r="I78" i="51"/>
  <c r="I78" i="54"/>
  <c r="I78" i="60"/>
  <c r="G76" i="54"/>
  <c r="C83" i="1"/>
  <c r="E40" i="50"/>
  <c r="D94" i="58"/>
  <c r="F94" i="58" s="1"/>
  <c r="F76" i="50"/>
  <c r="F76" i="60"/>
  <c r="F78" i="52"/>
  <c r="F78" i="49"/>
  <c r="F78" i="57"/>
  <c r="F78" i="59"/>
  <c r="F78" i="41"/>
  <c r="F78" i="50"/>
  <c r="F78" i="42"/>
  <c r="F78" i="58"/>
  <c r="F78" i="44"/>
  <c r="F78" i="51"/>
  <c r="F78" i="45"/>
  <c r="F78" i="55"/>
  <c r="F78" i="46"/>
  <c r="F78" i="60"/>
  <c r="F79" i="61"/>
  <c r="F78" i="47"/>
  <c r="F78" i="48"/>
  <c r="F78" i="54"/>
  <c r="F78" i="56"/>
  <c r="F78" i="53"/>
  <c r="I22" i="45"/>
  <c r="I22" i="48"/>
  <c r="I22" i="60"/>
  <c r="I22" i="52"/>
  <c r="I22" i="58"/>
  <c r="I22" i="44"/>
  <c r="I22" i="47"/>
  <c r="I22" i="50"/>
  <c r="I22" i="51"/>
  <c r="I22" i="54"/>
  <c r="I22" i="56"/>
  <c r="I22" i="46"/>
  <c r="I22" i="49"/>
  <c r="I23" i="61"/>
  <c r="I22" i="57"/>
  <c r="I22" i="59"/>
  <c r="I22" i="42"/>
  <c r="I22" i="41"/>
  <c r="I23" i="58"/>
  <c r="I23" i="52"/>
  <c r="I23" i="54"/>
  <c r="I23" i="56"/>
  <c r="I23" i="44"/>
  <c r="I23" i="47"/>
  <c r="I23" i="50"/>
  <c r="I23" i="51"/>
  <c r="I23" i="53"/>
  <c r="I23" i="41"/>
  <c r="I23" i="46"/>
  <c r="I23" i="55"/>
  <c r="I29" i="55" s="1"/>
  <c r="E65" i="55" s="1"/>
  <c r="I23" i="57"/>
  <c r="I23" i="59"/>
  <c r="I24" i="61"/>
  <c r="I23" i="49"/>
  <c r="I23" i="60"/>
  <c r="I23" i="42"/>
  <c r="I23" i="48"/>
  <c r="I23" i="45"/>
  <c r="F76" i="52"/>
  <c r="F77" i="61"/>
  <c r="F76" i="53"/>
  <c r="G76" i="52"/>
  <c r="G76" i="59"/>
  <c r="C41" i="52"/>
  <c r="E41" i="52" s="1"/>
  <c r="F41" i="52" s="1"/>
  <c r="D87" i="52"/>
  <c r="F87" i="52" s="1"/>
  <c r="C41" i="44"/>
  <c r="E41" i="44" s="1"/>
  <c r="F41" i="44" s="1"/>
  <c r="G41" i="44" s="1"/>
  <c r="E79" i="42"/>
  <c r="E79" i="51"/>
  <c r="D94" i="41"/>
  <c r="F94" i="41" s="1"/>
  <c r="F93" i="57"/>
  <c r="G76" i="60"/>
  <c r="G76" i="48"/>
  <c r="G76" i="56"/>
  <c r="F76" i="44"/>
  <c r="F76" i="59"/>
  <c r="I78" i="52"/>
  <c r="I78" i="48"/>
  <c r="I78" i="56"/>
  <c r="I78" i="49"/>
  <c r="I78" i="57"/>
  <c r="I79" i="61"/>
  <c r="I78" i="41"/>
  <c r="I78" i="42"/>
  <c r="I78" i="46"/>
  <c r="I78" i="44"/>
  <c r="I78" i="45"/>
  <c r="I78" i="59"/>
  <c r="I78" i="47"/>
  <c r="I78" i="58"/>
  <c r="I78" i="55"/>
  <c r="H76" i="52"/>
  <c r="H76" i="41"/>
  <c r="H76" i="50"/>
  <c r="H76" i="42"/>
  <c r="H76" i="59"/>
  <c r="H76" i="44"/>
  <c r="H76" i="45"/>
  <c r="H76" i="58"/>
  <c r="H76" i="56"/>
  <c r="H76" i="51"/>
  <c r="H76" i="46"/>
  <c r="H76" i="48"/>
  <c r="H76" i="47"/>
  <c r="H76" i="55"/>
  <c r="H76" i="54"/>
  <c r="H77" i="61"/>
  <c r="H76" i="60"/>
  <c r="H76" i="49"/>
  <c r="H76" i="57"/>
  <c r="H76" i="53"/>
  <c r="C41" i="42"/>
  <c r="E41" i="42" s="1"/>
  <c r="F41" i="42" s="1"/>
  <c r="G41" i="42" s="1"/>
  <c r="H41" i="42" s="1"/>
  <c r="G76" i="51"/>
  <c r="G76" i="42"/>
  <c r="F76" i="42"/>
  <c r="K23" i="60"/>
  <c r="K23" i="45"/>
  <c r="K23" i="48"/>
  <c r="K23" i="54"/>
  <c r="K29" i="54" s="1"/>
  <c r="G65" i="54" s="1"/>
  <c r="K23" i="56"/>
  <c r="K23" i="58"/>
  <c r="K23" i="52"/>
  <c r="K23" i="44"/>
  <c r="K23" i="47"/>
  <c r="K23" i="50"/>
  <c r="K23" i="51"/>
  <c r="K23" i="55"/>
  <c r="K23" i="53"/>
  <c r="K23" i="42"/>
  <c r="K23" i="41"/>
  <c r="K23" i="59"/>
  <c r="K23" i="57"/>
  <c r="K24" i="61"/>
  <c r="K23" i="46"/>
  <c r="K23" i="49"/>
  <c r="D90" i="56"/>
  <c r="C46" i="58"/>
  <c r="E46" i="58" s="1"/>
  <c r="C46" i="59"/>
  <c r="D98" i="59" s="1"/>
  <c r="F98" i="59" s="1"/>
  <c r="E79" i="53"/>
  <c r="E79" i="45"/>
  <c r="E76" i="1"/>
  <c r="F79" i="48" s="1"/>
  <c r="C46" i="42"/>
  <c r="E40" i="44"/>
  <c r="G76" i="46"/>
  <c r="G76" i="53"/>
  <c r="F76" i="41"/>
  <c r="G76" i="49"/>
  <c r="G76" i="57"/>
  <c r="F76" i="51"/>
  <c r="F76" i="49"/>
  <c r="F76" i="57"/>
  <c r="G22" i="52"/>
  <c r="G22" i="44"/>
  <c r="G22" i="47"/>
  <c r="G22" i="50"/>
  <c r="G22" i="51"/>
  <c r="G22" i="56"/>
  <c r="G22" i="46"/>
  <c r="G22" i="49"/>
  <c r="G22" i="45"/>
  <c r="G22" i="55"/>
  <c r="G22" i="42"/>
  <c r="G22" i="48"/>
  <c r="G76" i="44"/>
  <c r="F76" i="58"/>
  <c r="F76" i="48"/>
  <c r="F76" i="56"/>
  <c r="K22" i="42"/>
  <c r="K22" i="45"/>
  <c r="K22" i="48"/>
  <c r="K22" i="52"/>
  <c r="K22" i="44"/>
  <c r="K22" i="47"/>
  <c r="K22" i="50"/>
  <c r="K22" i="51"/>
  <c r="K22" i="56"/>
  <c r="K22" i="49"/>
  <c r="K22" i="46"/>
  <c r="K22" i="55"/>
  <c r="E73" i="58"/>
  <c r="F73" i="58" s="1"/>
  <c r="G29" i="54"/>
  <c r="C65" i="54" s="1"/>
  <c r="E79" i="56"/>
  <c r="E79" i="48"/>
  <c r="D94" i="52"/>
  <c r="F94" i="52" s="1"/>
  <c r="G76" i="50"/>
  <c r="G76" i="47"/>
  <c r="G76" i="55"/>
  <c r="F76" i="47"/>
  <c r="F76" i="55"/>
  <c r="E76" i="52"/>
  <c r="E76" i="50"/>
  <c r="E76" i="42"/>
  <c r="E76" i="44"/>
  <c r="E76" i="59"/>
  <c r="E76" i="45"/>
  <c r="E76" i="51"/>
  <c r="E76" i="46"/>
  <c r="E76" i="58"/>
  <c r="E76" i="57"/>
  <c r="E76" i="47"/>
  <c r="E76" i="55"/>
  <c r="E76" i="54"/>
  <c r="E76" i="53"/>
  <c r="E77" i="61"/>
  <c r="E76" i="49"/>
  <c r="E76" i="48"/>
  <c r="E76" i="56"/>
  <c r="E76" i="60"/>
  <c r="E76" i="41"/>
  <c r="C46" i="47"/>
  <c r="D98" i="47" s="1"/>
  <c r="F98" i="47" s="1"/>
  <c r="C84" i="1"/>
  <c r="E84" i="1" s="1"/>
  <c r="D86" i="45"/>
  <c r="F86" i="45" s="1"/>
  <c r="D88" i="45"/>
  <c r="F88" i="45" s="1"/>
  <c r="D87" i="45"/>
  <c r="F87" i="45" s="1"/>
  <c r="C46" i="56"/>
  <c r="E46" i="56" s="1"/>
  <c r="F46" i="56" s="1"/>
  <c r="G46" i="56" s="1"/>
  <c r="H46" i="56" s="1"/>
  <c r="I46" i="56" s="1"/>
  <c r="C41" i="56"/>
  <c r="E41" i="56" s="1"/>
  <c r="F41" i="56" s="1"/>
  <c r="G41" i="56" s="1"/>
  <c r="E40" i="54"/>
  <c r="E40" i="49"/>
  <c r="D87" i="42"/>
  <c r="F87" i="42" s="1"/>
  <c r="D86" i="42"/>
  <c r="F86" i="42" s="1"/>
  <c r="D88" i="42"/>
  <c r="F88" i="42" s="1"/>
  <c r="G78" i="52"/>
  <c r="G78" i="51"/>
  <c r="G78" i="50"/>
  <c r="G78" i="49"/>
  <c r="G78" i="48"/>
  <c r="G78" i="47"/>
  <c r="G78" i="46"/>
  <c r="G78" i="45"/>
  <c r="G78" i="44"/>
  <c r="G78" i="42"/>
  <c r="G78" i="41"/>
  <c r="G78" i="57"/>
  <c r="G78" i="56"/>
  <c r="G78" i="55"/>
  <c r="G78" i="54"/>
  <c r="G78" i="53"/>
  <c r="G79" i="61"/>
  <c r="G78" i="59"/>
  <c r="G78" i="58"/>
  <c r="G78" i="60"/>
  <c r="C85" i="1"/>
  <c r="E85" i="1" s="1"/>
  <c r="D32" i="64"/>
  <c r="D14" i="64"/>
  <c r="H78" i="52"/>
  <c r="H78" i="50"/>
  <c r="H78" i="49"/>
  <c r="H78" i="48"/>
  <c r="H78" i="47"/>
  <c r="H78" i="46"/>
  <c r="H78" i="45"/>
  <c r="H78" i="44"/>
  <c r="H78" i="42"/>
  <c r="H78" i="41"/>
  <c r="H78" i="57"/>
  <c r="H78" i="56"/>
  <c r="H78" i="55"/>
  <c r="H78" i="54"/>
  <c r="H78" i="53"/>
  <c r="H78" i="51"/>
  <c r="H79" i="61"/>
  <c r="H78" i="59"/>
  <c r="H78" i="58"/>
  <c r="H78" i="60"/>
  <c r="D94" i="54"/>
  <c r="F94" i="54" s="1"/>
  <c r="C41" i="54"/>
  <c r="E41" i="54" s="1"/>
  <c r="F41" i="54" s="1"/>
  <c r="G41" i="54" s="1"/>
  <c r="H41" i="54" s="1"/>
  <c r="D94" i="59"/>
  <c r="F94" i="59" s="1"/>
  <c r="D90" i="59"/>
  <c r="G77" i="52"/>
  <c r="G77" i="51"/>
  <c r="G77" i="50"/>
  <c r="G77" i="49"/>
  <c r="G77" i="48"/>
  <c r="G77" i="47"/>
  <c r="G77" i="46"/>
  <c r="G77" i="45"/>
  <c r="G77" i="44"/>
  <c r="G77" i="42"/>
  <c r="G77" i="41"/>
  <c r="G77" i="57"/>
  <c r="G77" i="56"/>
  <c r="G77" i="55"/>
  <c r="G77" i="54"/>
  <c r="G77" i="53"/>
  <c r="G77" i="59"/>
  <c r="G77" i="58"/>
  <c r="G78" i="61"/>
  <c r="G77" i="60"/>
  <c r="H22" i="55"/>
  <c r="H22" i="53"/>
  <c r="H22" i="44"/>
  <c r="H22" i="59"/>
  <c r="H23" i="61"/>
  <c r="H22" i="54"/>
  <c r="H22" i="56"/>
  <c r="H22" i="45"/>
  <c r="H22" i="47"/>
  <c r="H22" i="49"/>
  <c r="H22" i="50"/>
  <c r="H22" i="51"/>
  <c r="H22" i="52"/>
  <c r="H29" i="52" s="1"/>
  <c r="H22" i="58"/>
  <c r="H22" i="60"/>
  <c r="H29" i="60" s="1"/>
  <c r="D65" i="60" s="1"/>
  <c r="H22" i="41"/>
  <c r="H22" i="42"/>
  <c r="H22" i="57"/>
  <c r="H22" i="46"/>
  <c r="H29" i="46" s="1"/>
  <c r="D65" i="46" s="1"/>
  <c r="H22" i="48"/>
  <c r="F50" i="1"/>
  <c r="D60" i="1" s="1"/>
  <c r="G36" i="1"/>
  <c r="F93" i="47"/>
  <c r="F93" i="46"/>
  <c r="D94" i="44"/>
  <c r="F94" i="44" s="1"/>
  <c r="E77" i="52"/>
  <c r="E77" i="51"/>
  <c r="E77" i="50"/>
  <c r="E77" i="49"/>
  <c r="E77" i="48"/>
  <c r="E77" i="47"/>
  <c r="E77" i="46"/>
  <c r="E77" i="45"/>
  <c r="E77" i="44"/>
  <c r="E77" i="42"/>
  <c r="E77" i="41"/>
  <c r="E77" i="57"/>
  <c r="E77" i="56"/>
  <c r="E77" i="55"/>
  <c r="E77" i="54"/>
  <c r="E77" i="53"/>
  <c r="E77" i="59"/>
  <c r="E77" i="58"/>
  <c r="E77" i="60"/>
  <c r="E78" i="61"/>
  <c r="J22" i="54"/>
  <c r="J22" i="53"/>
  <c r="J22" i="56"/>
  <c r="J29" i="56" s="1"/>
  <c r="F65" i="56" s="1"/>
  <c r="J22" i="42"/>
  <c r="J22" i="58"/>
  <c r="J22" i="60"/>
  <c r="J22" i="41"/>
  <c r="J22" i="55"/>
  <c r="J22" i="57"/>
  <c r="J22" i="46"/>
  <c r="J22" i="48"/>
  <c r="J22" i="59"/>
  <c r="J23" i="61"/>
  <c r="J22" i="44"/>
  <c r="J22" i="45"/>
  <c r="J22" i="47"/>
  <c r="J22" i="49"/>
  <c r="J22" i="50"/>
  <c r="J22" i="51"/>
  <c r="J22" i="52"/>
  <c r="C41" i="49"/>
  <c r="E41" i="49" s="1"/>
  <c r="F41" i="49" s="1"/>
  <c r="G41" i="49" s="1"/>
  <c r="C46" i="49"/>
  <c r="E46" i="49" s="1"/>
  <c r="F46" i="49" s="1"/>
  <c r="G46" i="49" s="1"/>
  <c r="H46" i="49" s="1"/>
  <c r="I46" i="49" s="1"/>
  <c r="D77" i="1"/>
  <c r="C42" i="61"/>
  <c r="E42" i="61" s="1"/>
  <c r="D87" i="44"/>
  <c r="F87" i="44" s="1"/>
  <c r="D86" i="44"/>
  <c r="F86" i="44" s="1"/>
  <c r="E73" i="60"/>
  <c r="C46" i="60"/>
  <c r="C41" i="60"/>
  <c r="E41" i="60" s="1"/>
  <c r="F41" i="60" s="1"/>
  <c r="D89" i="61"/>
  <c r="F89" i="61" s="1"/>
  <c r="D87" i="61"/>
  <c r="F87" i="61" s="1"/>
  <c r="D88" i="61"/>
  <c r="F88" i="61" s="1"/>
  <c r="C46" i="50"/>
  <c r="C46" i="46"/>
  <c r="F93" i="56"/>
  <c r="D94" i="60"/>
  <c r="F94" i="60" s="1"/>
  <c r="C47" i="61"/>
  <c r="C41" i="46"/>
  <c r="E41" i="46" s="1"/>
  <c r="F41" i="46" s="1"/>
  <c r="D86" i="50"/>
  <c r="F86" i="50" s="1"/>
  <c r="D88" i="50"/>
  <c r="F88" i="50" s="1"/>
  <c r="C46" i="45"/>
  <c r="D94" i="45"/>
  <c r="F94" i="45" s="1"/>
  <c r="C41" i="45"/>
  <c r="E41" i="45" s="1"/>
  <c r="C41" i="50"/>
  <c r="E41" i="50" s="1"/>
  <c r="F41" i="50" s="1"/>
  <c r="C41" i="47"/>
  <c r="E41" i="47" s="1"/>
  <c r="C37" i="10" l="1"/>
  <c r="H29" i="58"/>
  <c r="D65" i="58" s="1"/>
  <c r="H29" i="54"/>
  <c r="D65" i="54" s="1"/>
  <c r="H29" i="50"/>
  <c r="D65" i="50" s="1"/>
  <c r="H29" i="55"/>
  <c r="D65" i="55" s="1"/>
  <c r="H29" i="44"/>
  <c r="D65" i="44" s="1"/>
  <c r="H29" i="48"/>
  <c r="D65" i="48" s="1"/>
  <c r="H29" i="59"/>
  <c r="D65" i="59" s="1"/>
  <c r="H29" i="51"/>
  <c r="D65" i="51" s="1"/>
  <c r="H29" i="49"/>
  <c r="D65" i="49" s="1"/>
  <c r="D50" i="1"/>
  <c r="B60" i="1" s="1"/>
  <c r="B62" i="1" s="1"/>
  <c r="E31" i="10"/>
  <c r="D35" i="10"/>
  <c r="H28" i="10"/>
  <c r="A27" i="10"/>
  <c r="F27" i="10" s="1"/>
  <c r="G28" i="10"/>
  <c r="D28" i="10"/>
  <c r="B28" i="10"/>
  <c r="E28" i="10"/>
  <c r="I28" i="10"/>
  <c r="C28" i="10"/>
  <c r="A36" i="10"/>
  <c r="B37" i="10"/>
  <c r="E13" i="10"/>
  <c r="E19" i="10"/>
  <c r="E18" i="10"/>
  <c r="E8" i="10"/>
  <c r="E9" i="10"/>
  <c r="E12" i="10"/>
  <c r="E11" i="10"/>
  <c r="E10" i="10"/>
  <c r="E17" i="10"/>
  <c r="E20" i="10"/>
  <c r="B38" i="8"/>
  <c r="C38" i="8" s="1"/>
  <c r="B32" i="8"/>
  <c r="C32" i="8" s="1"/>
  <c r="B36" i="8"/>
  <c r="C36" i="8" s="1"/>
  <c r="B37" i="8"/>
  <c r="C37" i="8" s="1"/>
  <c r="B35" i="8"/>
  <c r="C35" i="8" s="1"/>
  <c r="B33" i="8"/>
  <c r="C33" i="8" s="1"/>
  <c r="B34" i="8"/>
  <c r="C34" i="8" s="1"/>
  <c r="B28" i="8"/>
  <c r="C28" i="8" s="1"/>
  <c r="B24" i="8"/>
  <c r="C24" i="8" s="1"/>
  <c r="B25" i="8"/>
  <c r="C25" i="8" s="1"/>
  <c r="B26" i="8"/>
  <c r="C26" i="8" s="1"/>
  <c r="B29" i="8"/>
  <c r="C29" i="8" s="1"/>
  <c r="B30" i="8"/>
  <c r="C30" i="8" s="1"/>
  <c r="B27" i="8"/>
  <c r="C27" i="8" s="1"/>
  <c r="H29" i="41"/>
  <c r="D65" i="41" s="1"/>
  <c r="H29" i="47"/>
  <c r="D65" i="47" s="1"/>
  <c r="H30" i="61"/>
  <c r="D66" i="61" s="1"/>
  <c r="E31" i="64"/>
  <c r="F13" i="59"/>
  <c r="D86" i="59" s="1"/>
  <c r="F86" i="59" s="1"/>
  <c r="F14" i="60"/>
  <c r="D87" i="60" s="1"/>
  <c r="F87" i="60" s="1"/>
  <c r="A34" i="64"/>
  <c r="F13" i="60" s="1"/>
  <c r="D86" i="60" s="1"/>
  <c r="F86" i="60" s="1"/>
  <c r="E33" i="64"/>
  <c r="E30" i="64"/>
  <c r="H29" i="53"/>
  <c r="D65" i="53" s="1"/>
  <c r="H29" i="57"/>
  <c r="D65" i="57" s="1"/>
  <c r="J29" i="42"/>
  <c r="F65" i="42" s="1"/>
  <c r="F74" i="44"/>
  <c r="H29" i="56"/>
  <c r="D65" i="56" s="1"/>
  <c r="E50" i="1"/>
  <c r="C60" i="1" s="1"/>
  <c r="H29" i="45"/>
  <c r="D65" i="45" s="1"/>
  <c r="B29" i="64"/>
  <c r="C29" i="64"/>
  <c r="C35" i="64"/>
  <c r="A28" i="64"/>
  <c r="H29" i="42"/>
  <c r="D65" i="42" s="1"/>
  <c r="D86" i="57"/>
  <c r="F86" i="57" s="1"/>
  <c r="F14" i="57"/>
  <c r="D87" i="57" s="1"/>
  <c r="F87" i="57" s="1"/>
  <c r="B35" i="64"/>
  <c r="F15" i="57"/>
  <c r="D88" i="57" s="1"/>
  <c r="F88" i="57" s="1"/>
  <c r="F15" i="60"/>
  <c r="D88" i="60" s="1"/>
  <c r="F88" i="60" s="1"/>
  <c r="B38" i="63"/>
  <c r="C38" i="63" s="1"/>
  <c r="E83" i="1"/>
  <c r="E86" i="1" s="1"/>
  <c r="F71" i="1"/>
  <c r="G74" i="51" s="1"/>
  <c r="F74" i="42"/>
  <c r="F74" i="45"/>
  <c r="F74" i="46"/>
  <c r="F74" i="53"/>
  <c r="F74" i="47"/>
  <c r="F75" i="61"/>
  <c r="F74" i="51"/>
  <c r="F74" i="57"/>
  <c r="F79" i="55"/>
  <c r="F79" i="47"/>
  <c r="F79" i="41"/>
  <c r="F79" i="50"/>
  <c r="F79" i="57"/>
  <c r="F79" i="49"/>
  <c r="F75" i="53"/>
  <c r="F75" i="54"/>
  <c r="F76" i="61"/>
  <c r="F75" i="51"/>
  <c r="F75" i="42"/>
  <c r="F75" i="50"/>
  <c r="F75" i="41"/>
  <c r="F75" i="49"/>
  <c r="F75" i="57"/>
  <c r="F75" i="52"/>
  <c r="F75" i="48"/>
  <c r="F75" i="56"/>
  <c r="F75" i="45"/>
  <c r="F75" i="47"/>
  <c r="F75" i="55"/>
  <c r="F75" i="44"/>
  <c r="F75" i="46"/>
  <c r="F72" i="1"/>
  <c r="F74" i="55"/>
  <c r="F74" i="52"/>
  <c r="F74" i="54"/>
  <c r="F74" i="49"/>
  <c r="F74" i="56"/>
  <c r="F74" i="48"/>
  <c r="F74" i="41"/>
  <c r="F80" i="61"/>
  <c r="F79" i="42"/>
  <c r="F79" i="51"/>
  <c r="F79" i="54"/>
  <c r="F79" i="44"/>
  <c r="F79" i="52"/>
  <c r="F79" i="53"/>
  <c r="F79" i="45"/>
  <c r="F76" i="1"/>
  <c r="G79" i="46" s="1"/>
  <c r="F79" i="46"/>
  <c r="F79" i="56"/>
  <c r="J29" i="54"/>
  <c r="F65" i="54" s="1"/>
  <c r="J29" i="50"/>
  <c r="F65" i="50" s="1"/>
  <c r="D88" i="58"/>
  <c r="F88" i="58" s="1"/>
  <c r="D86" i="58"/>
  <c r="F86" i="58" s="1"/>
  <c r="E46" i="44"/>
  <c r="F46" i="44" s="1"/>
  <c r="G46" i="44" s="1"/>
  <c r="H46" i="44" s="1"/>
  <c r="I46" i="44" s="1"/>
  <c r="F73" i="56"/>
  <c r="F73" i="51"/>
  <c r="E77" i="1"/>
  <c r="F80" i="49" s="1"/>
  <c r="F73" i="57"/>
  <c r="D88" i="47"/>
  <c r="F88" i="47" s="1"/>
  <c r="J29" i="58"/>
  <c r="F65" i="58" s="1"/>
  <c r="G29" i="47"/>
  <c r="C65" i="47" s="1"/>
  <c r="F73" i="41"/>
  <c r="F73" i="48"/>
  <c r="F73" i="42"/>
  <c r="F73" i="44"/>
  <c r="F74" i="61"/>
  <c r="F73" i="49"/>
  <c r="F73" i="55"/>
  <c r="F73" i="50"/>
  <c r="F73" i="53"/>
  <c r="F73" i="47"/>
  <c r="G29" i="42"/>
  <c r="C65" i="42" s="1"/>
  <c r="G29" i="52"/>
  <c r="C65" i="52" s="1"/>
  <c r="F70" i="1"/>
  <c r="G73" i="49" s="1"/>
  <c r="F73" i="45"/>
  <c r="F73" i="52"/>
  <c r="F73" i="54"/>
  <c r="K29" i="53"/>
  <c r="G65" i="53" s="1"/>
  <c r="J29" i="41"/>
  <c r="F65" i="41" s="1"/>
  <c r="I29" i="47"/>
  <c r="E65" i="47" s="1"/>
  <c r="G29" i="53"/>
  <c r="C65" i="53" s="1"/>
  <c r="D87" i="46"/>
  <c r="F87" i="46" s="1"/>
  <c r="D86" i="46"/>
  <c r="F86" i="46" s="1"/>
  <c r="D86" i="47"/>
  <c r="F86" i="47" s="1"/>
  <c r="E46" i="59"/>
  <c r="F46" i="59" s="1"/>
  <c r="G46" i="59" s="1"/>
  <c r="E46" i="57"/>
  <c r="F46" i="57" s="1"/>
  <c r="D98" i="41"/>
  <c r="F98" i="41" s="1"/>
  <c r="F102" i="41" s="1"/>
  <c r="G29" i="46"/>
  <c r="C65" i="46" s="1"/>
  <c r="K29" i="58"/>
  <c r="G65" i="58" s="1"/>
  <c r="J29" i="44"/>
  <c r="F65" i="44" s="1"/>
  <c r="G29" i="51"/>
  <c r="C65" i="51" s="1"/>
  <c r="K29" i="59"/>
  <c r="G65" i="59" s="1"/>
  <c r="D98" i="53"/>
  <c r="F98" i="53" s="1"/>
  <c r="F102" i="53" s="1"/>
  <c r="D98" i="54"/>
  <c r="F98" i="54" s="1"/>
  <c r="F102" i="54" s="1"/>
  <c r="D98" i="58"/>
  <c r="F98" i="58" s="1"/>
  <c r="F102" i="58" s="1"/>
  <c r="D98" i="48"/>
  <c r="F98" i="48" s="1"/>
  <c r="F102" i="48" s="1"/>
  <c r="F90" i="49"/>
  <c r="F62" i="49" s="1"/>
  <c r="I29" i="45"/>
  <c r="E65" i="45" s="1"/>
  <c r="G29" i="60"/>
  <c r="C65" i="60" s="1"/>
  <c r="I29" i="51"/>
  <c r="E65" i="51" s="1"/>
  <c r="F102" i="55"/>
  <c r="G29" i="41"/>
  <c r="C65" i="41" s="1"/>
  <c r="G29" i="49"/>
  <c r="C65" i="49" s="1"/>
  <c r="K29" i="60"/>
  <c r="G65" i="60" s="1"/>
  <c r="J29" i="53"/>
  <c r="F65" i="53" s="1"/>
  <c r="D98" i="51"/>
  <c r="F98" i="51" s="1"/>
  <c r="F102" i="51" s="1"/>
  <c r="I29" i="41"/>
  <c r="E65" i="41" s="1"/>
  <c r="J30" i="61"/>
  <c r="F66" i="61" s="1"/>
  <c r="J29" i="46"/>
  <c r="F65" i="46" s="1"/>
  <c r="K29" i="57"/>
  <c r="G65" i="57" s="1"/>
  <c r="E80" i="59"/>
  <c r="G29" i="48"/>
  <c r="C65" i="48" s="1"/>
  <c r="E46" i="52"/>
  <c r="F46" i="52" s="1"/>
  <c r="G46" i="52" s="1"/>
  <c r="H46" i="52" s="1"/>
  <c r="I46" i="52" s="1"/>
  <c r="G29" i="58"/>
  <c r="C65" i="58" s="1"/>
  <c r="I29" i="44"/>
  <c r="E65" i="44" s="1"/>
  <c r="J29" i="57"/>
  <c r="F65" i="57" s="1"/>
  <c r="J29" i="49"/>
  <c r="F65" i="49" s="1"/>
  <c r="K29" i="41"/>
  <c r="G65" i="41" s="1"/>
  <c r="G29" i="57"/>
  <c r="C65" i="57" s="1"/>
  <c r="I29" i="48"/>
  <c r="E65" i="48" s="1"/>
  <c r="I29" i="54"/>
  <c r="E65" i="54" s="1"/>
  <c r="K29" i="44"/>
  <c r="G65" i="44" s="1"/>
  <c r="K30" i="61"/>
  <c r="G66" i="61" s="1"/>
  <c r="I29" i="42"/>
  <c r="E65" i="42" s="1"/>
  <c r="I29" i="46"/>
  <c r="J29" i="52"/>
  <c r="F65" i="52" s="1"/>
  <c r="D88" i="48"/>
  <c r="F88" i="48" s="1"/>
  <c r="K29" i="55"/>
  <c r="G65" i="55" s="1"/>
  <c r="I29" i="53"/>
  <c r="E65" i="53" s="1"/>
  <c r="K29" i="42"/>
  <c r="G65" i="42" s="1"/>
  <c r="E55" i="48"/>
  <c r="C64" i="48" s="1"/>
  <c r="K29" i="52"/>
  <c r="G65" i="52" s="1"/>
  <c r="G29" i="50"/>
  <c r="C65" i="50" s="1"/>
  <c r="D86" i="56"/>
  <c r="F86" i="56" s="1"/>
  <c r="J29" i="45"/>
  <c r="F65" i="45" s="1"/>
  <c r="K29" i="49"/>
  <c r="G65" i="49" s="1"/>
  <c r="F90" i="51"/>
  <c r="F62" i="51" s="1"/>
  <c r="D98" i="56"/>
  <c r="F98" i="56" s="1"/>
  <c r="F102" i="56" s="1"/>
  <c r="K29" i="46"/>
  <c r="G65" i="46" s="1"/>
  <c r="D62" i="1"/>
  <c r="F102" i="52"/>
  <c r="I29" i="58"/>
  <c r="E65" i="58" s="1"/>
  <c r="G41" i="52"/>
  <c r="H41" i="52" s="1"/>
  <c r="D98" i="49"/>
  <c r="F98" i="49" s="1"/>
  <c r="F102" i="49" s="1"/>
  <c r="E46" i="55"/>
  <c r="F46" i="55" s="1"/>
  <c r="G46" i="55" s="1"/>
  <c r="H46" i="55" s="1"/>
  <c r="I46" i="55" s="1"/>
  <c r="I29" i="49"/>
  <c r="E65" i="49" s="1"/>
  <c r="J29" i="51"/>
  <c r="F65" i="51" s="1"/>
  <c r="D87" i="48"/>
  <c r="F87" i="48" s="1"/>
  <c r="G29" i="55"/>
  <c r="C65" i="55" s="1"/>
  <c r="J29" i="48"/>
  <c r="F65" i="48" s="1"/>
  <c r="G29" i="59"/>
  <c r="C65" i="59" s="1"/>
  <c r="F90" i="52"/>
  <c r="I30" i="61"/>
  <c r="E66" i="61" s="1"/>
  <c r="I29" i="59"/>
  <c r="E65" i="59" s="1"/>
  <c r="F102" i="59"/>
  <c r="J29" i="47"/>
  <c r="F65" i="47" s="1"/>
  <c r="K29" i="50"/>
  <c r="G65" i="50" s="1"/>
  <c r="I29" i="57"/>
  <c r="E65" i="57" s="1"/>
  <c r="K29" i="47"/>
  <c r="G65" i="47" s="1"/>
  <c r="F102" i="57"/>
  <c r="G30" i="61"/>
  <c r="C66" i="61" s="1"/>
  <c r="G29" i="44"/>
  <c r="C65" i="44" s="1"/>
  <c r="F102" i="44"/>
  <c r="K29" i="45"/>
  <c r="G65" i="45" s="1"/>
  <c r="K29" i="56"/>
  <c r="G65" i="56" s="1"/>
  <c r="D86" i="41"/>
  <c r="F86" i="41" s="1"/>
  <c r="D87" i="41"/>
  <c r="F87" i="41" s="1"/>
  <c r="K29" i="48"/>
  <c r="G65" i="48" s="1"/>
  <c r="J29" i="60"/>
  <c r="F65" i="60" s="1"/>
  <c r="K29" i="51"/>
  <c r="G65" i="51" s="1"/>
  <c r="G29" i="45"/>
  <c r="C65" i="45" s="1"/>
  <c r="I29" i="52"/>
  <c r="E65" i="52" s="1"/>
  <c r="J29" i="59"/>
  <c r="F65" i="59" s="1"/>
  <c r="I29" i="56"/>
  <c r="E65" i="56" s="1"/>
  <c r="I29" i="60"/>
  <c r="E65" i="60" s="1"/>
  <c r="J29" i="55"/>
  <c r="F65" i="55" s="1"/>
  <c r="F55" i="48"/>
  <c r="D64" i="48" s="1"/>
  <c r="G29" i="56"/>
  <c r="C65" i="56" s="1"/>
  <c r="E80" i="58"/>
  <c r="D98" i="42"/>
  <c r="F98" i="42" s="1"/>
  <c r="F102" i="42" s="1"/>
  <c r="E46" i="42"/>
  <c r="E46" i="47"/>
  <c r="F46" i="47" s="1"/>
  <c r="G46" i="47" s="1"/>
  <c r="H46" i="47" s="1"/>
  <c r="I46" i="47" s="1"/>
  <c r="I29" i="50"/>
  <c r="E65" i="50" s="1"/>
  <c r="E81" i="61"/>
  <c r="F90" i="42"/>
  <c r="E62" i="42" s="1"/>
  <c r="F90" i="45"/>
  <c r="C62" i="45" s="1"/>
  <c r="F91" i="61"/>
  <c r="F55" i="54"/>
  <c r="D64" i="54" s="1"/>
  <c r="F102" i="47"/>
  <c r="H36" i="1"/>
  <c r="H50" i="1" s="1"/>
  <c r="F60" i="1" s="1"/>
  <c r="F62" i="1" s="1"/>
  <c r="G50" i="1"/>
  <c r="E60" i="1" s="1"/>
  <c r="E62" i="1" s="1"/>
  <c r="F55" i="49"/>
  <c r="D64" i="49" s="1"/>
  <c r="F90" i="44"/>
  <c r="F62" i="44" s="1"/>
  <c r="E80" i="52"/>
  <c r="E80" i="51"/>
  <c r="E80" i="50"/>
  <c r="E80" i="49"/>
  <c r="E80" i="48"/>
  <c r="E80" i="47"/>
  <c r="E80" i="46"/>
  <c r="E80" i="45"/>
  <c r="E80" i="44"/>
  <c r="E80" i="42"/>
  <c r="E80" i="41"/>
  <c r="E80" i="57"/>
  <c r="E80" i="56"/>
  <c r="E80" i="55"/>
  <c r="E80" i="54"/>
  <c r="E80" i="53"/>
  <c r="D87" i="59"/>
  <c r="F87" i="59" s="1"/>
  <c r="D88" i="59"/>
  <c r="F88" i="59" s="1"/>
  <c r="F90" i="50"/>
  <c r="D62" i="50" s="1"/>
  <c r="C61" i="1"/>
  <c r="E105" i="1"/>
  <c r="D65" i="52"/>
  <c r="H41" i="57"/>
  <c r="F41" i="45"/>
  <c r="G55" i="48"/>
  <c r="E64" i="48" s="1"/>
  <c r="H41" i="48"/>
  <c r="H41" i="51"/>
  <c r="H41" i="55"/>
  <c r="F46" i="58"/>
  <c r="E55" i="58"/>
  <c r="C64" i="58" s="1"/>
  <c r="H41" i="49"/>
  <c r="G55" i="49"/>
  <c r="E64" i="49" s="1"/>
  <c r="E46" i="50"/>
  <c r="F46" i="50" s="1"/>
  <c r="G46" i="50" s="1"/>
  <c r="H46" i="50" s="1"/>
  <c r="I46" i="50" s="1"/>
  <c r="D98" i="50"/>
  <c r="F98" i="50" s="1"/>
  <c r="F102" i="50" s="1"/>
  <c r="F80" i="58"/>
  <c r="G73" i="58"/>
  <c r="E80" i="60"/>
  <c r="F73" i="60"/>
  <c r="I41" i="59"/>
  <c r="H55" i="54"/>
  <c r="F64" i="54" s="1"/>
  <c r="I41" i="54"/>
  <c r="I55" i="54" s="1"/>
  <c r="G64" i="54" s="1"/>
  <c r="G66" i="54" s="1"/>
  <c r="G55" i="53"/>
  <c r="E64" i="53" s="1"/>
  <c r="E55" i="53"/>
  <c r="C64" i="53" s="1"/>
  <c r="F55" i="56"/>
  <c r="D64" i="56" s="1"/>
  <c r="E55" i="49"/>
  <c r="C64" i="49" s="1"/>
  <c r="F41" i="47"/>
  <c r="G41" i="50"/>
  <c r="H41" i="41"/>
  <c r="G55" i="56"/>
  <c r="E64" i="56" s="1"/>
  <c r="H41" i="56"/>
  <c r="D98" i="60"/>
  <c r="F98" i="60" s="1"/>
  <c r="F102" i="60" s="1"/>
  <c r="E46" i="60"/>
  <c r="F46" i="60" s="1"/>
  <c r="G46" i="60" s="1"/>
  <c r="H46" i="60" s="1"/>
  <c r="I46" i="60" s="1"/>
  <c r="F42" i="61"/>
  <c r="H41" i="44"/>
  <c r="E55" i="56"/>
  <c r="C64" i="56" s="1"/>
  <c r="E55" i="54"/>
  <c r="C64" i="54" s="1"/>
  <c r="C66" i="54" s="1"/>
  <c r="D98" i="45"/>
  <c r="F98" i="45" s="1"/>
  <c r="F102" i="45" s="1"/>
  <c r="E46" i="45"/>
  <c r="F46" i="45" s="1"/>
  <c r="G46" i="45" s="1"/>
  <c r="H46" i="45" s="1"/>
  <c r="I46" i="45" s="1"/>
  <c r="F46" i="51"/>
  <c r="E55" i="51"/>
  <c r="C64" i="51" s="1"/>
  <c r="D98" i="46"/>
  <c r="F98" i="46" s="1"/>
  <c r="F102" i="46" s="1"/>
  <c r="E46" i="46"/>
  <c r="G41" i="60"/>
  <c r="F46" i="41"/>
  <c r="E55" i="41"/>
  <c r="C64" i="41" s="1"/>
  <c r="F55" i="53"/>
  <c r="D64" i="53" s="1"/>
  <c r="F80" i="59"/>
  <c r="G73" i="59"/>
  <c r="I41" i="42"/>
  <c r="I41" i="53"/>
  <c r="I55" i="53" s="1"/>
  <c r="G64" i="53" s="1"/>
  <c r="H55" i="53"/>
  <c r="F64" i="53" s="1"/>
  <c r="G41" i="46"/>
  <c r="D99" i="61"/>
  <c r="F99" i="61" s="1"/>
  <c r="F103" i="61" s="1"/>
  <c r="E47" i="61"/>
  <c r="F47" i="61" s="1"/>
  <c r="G47" i="61" s="1"/>
  <c r="H47" i="61" s="1"/>
  <c r="I47" i="61" s="1"/>
  <c r="H41" i="58"/>
  <c r="G55" i="54"/>
  <c r="E64" i="54" s="1"/>
  <c r="D66" i="54" l="1"/>
  <c r="D66" i="48"/>
  <c r="A37" i="10"/>
  <c r="D37" i="10" s="1"/>
  <c r="E37" i="10" s="1"/>
  <c r="D28" i="64"/>
  <c r="I28" i="64"/>
  <c r="D66" i="56"/>
  <c r="E32" i="64"/>
  <c r="E32" i="10"/>
  <c r="E35" i="10"/>
  <c r="I27" i="10"/>
  <c r="H27" i="10"/>
  <c r="C27" i="10"/>
  <c r="G27" i="10"/>
  <c r="E27" i="10"/>
  <c r="B27" i="10"/>
  <c r="D27" i="10"/>
  <c r="D36" i="10"/>
  <c r="E36" i="10" s="1"/>
  <c r="C31" i="8"/>
  <c r="E14" i="10"/>
  <c r="D66" i="53"/>
  <c r="C19" i="8"/>
  <c r="C15" i="8"/>
  <c r="C11" i="8"/>
  <c r="C7" i="8"/>
  <c r="C18" i="8"/>
  <c r="C14" i="8"/>
  <c r="C10" i="8"/>
  <c r="C6" i="8"/>
  <c r="C8" i="8"/>
  <c r="C17" i="8"/>
  <c r="C13" i="8"/>
  <c r="C9" i="8"/>
  <c r="C5" i="8"/>
  <c r="C12" i="8"/>
  <c r="C16" i="8"/>
  <c r="D34" i="64"/>
  <c r="E29" i="64"/>
  <c r="A35" i="64"/>
  <c r="D35" i="64" s="1"/>
  <c r="C62" i="1"/>
  <c r="B28" i="64"/>
  <c r="C28" i="64"/>
  <c r="B36" i="64"/>
  <c r="A27" i="64"/>
  <c r="F14" i="55"/>
  <c r="D87" i="55" s="1"/>
  <c r="F87" i="55" s="1"/>
  <c r="C36" i="64"/>
  <c r="F14" i="56"/>
  <c r="D87" i="56" s="1"/>
  <c r="F87" i="56" s="1"/>
  <c r="F13" i="55"/>
  <c r="D86" i="55" s="1"/>
  <c r="F86" i="55" s="1"/>
  <c r="F15" i="56"/>
  <c r="D88" i="56" s="1"/>
  <c r="F88" i="56" s="1"/>
  <c r="F90" i="60"/>
  <c r="C31" i="63"/>
  <c r="E14" i="64"/>
  <c r="G74" i="54"/>
  <c r="G74" i="42"/>
  <c r="G75" i="61"/>
  <c r="G74" i="46"/>
  <c r="G74" i="48"/>
  <c r="G74" i="41"/>
  <c r="G74" i="45"/>
  <c r="G74" i="53"/>
  <c r="G74" i="47"/>
  <c r="G74" i="55"/>
  <c r="G74" i="50"/>
  <c r="G74" i="56"/>
  <c r="G71" i="1"/>
  <c r="H74" i="52" s="1"/>
  <c r="G74" i="57"/>
  <c r="G74" i="49"/>
  <c r="G74" i="52"/>
  <c r="G74" i="44"/>
  <c r="C33" i="63"/>
  <c r="C19" i="63"/>
  <c r="C18" i="63"/>
  <c r="C17" i="63"/>
  <c r="C14" i="63"/>
  <c r="C16" i="63"/>
  <c r="C15" i="63"/>
  <c r="C13" i="63"/>
  <c r="C6" i="63"/>
  <c r="C7" i="63"/>
  <c r="C8" i="63"/>
  <c r="C9" i="63"/>
  <c r="C10" i="63"/>
  <c r="C11" i="63"/>
  <c r="C5" i="63"/>
  <c r="C12" i="63"/>
  <c r="G55" i="44"/>
  <c r="E64" i="44" s="1"/>
  <c r="E66" i="44" s="1"/>
  <c r="E55" i="44"/>
  <c r="C64" i="44" s="1"/>
  <c r="C66" i="44" s="1"/>
  <c r="E55" i="59"/>
  <c r="C64" i="59" s="1"/>
  <c r="C66" i="59" s="1"/>
  <c r="G80" i="61"/>
  <c r="G79" i="52"/>
  <c r="G79" i="48"/>
  <c r="G76" i="1"/>
  <c r="H79" i="48" s="1"/>
  <c r="G79" i="50"/>
  <c r="G79" i="51"/>
  <c r="G79" i="56"/>
  <c r="G79" i="41"/>
  <c r="G79" i="42"/>
  <c r="G79" i="47"/>
  <c r="G79" i="57"/>
  <c r="F81" i="61"/>
  <c r="G79" i="55"/>
  <c r="G79" i="49"/>
  <c r="G75" i="48"/>
  <c r="G75" i="56"/>
  <c r="G75" i="55"/>
  <c r="G75" i="46"/>
  <c r="G75" i="57"/>
  <c r="G75" i="47"/>
  <c r="G75" i="54"/>
  <c r="G75" i="49"/>
  <c r="G75" i="45"/>
  <c r="G75" i="53"/>
  <c r="G75" i="41"/>
  <c r="G75" i="44"/>
  <c r="G72" i="1"/>
  <c r="G76" i="61"/>
  <c r="G75" i="51"/>
  <c r="G75" i="42"/>
  <c r="G75" i="52"/>
  <c r="G75" i="50"/>
  <c r="G79" i="44"/>
  <c r="F90" i="58"/>
  <c r="E62" i="58" s="1"/>
  <c r="F55" i="44"/>
  <c r="D64" i="44" s="1"/>
  <c r="D66" i="44" s="1"/>
  <c r="G79" i="53"/>
  <c r="G79" i="45"/>
  <c r="G79" i="54"/>
  <c r="F80" i="50"/>
  <c r="F80" i="51"/>
  <c r="F80" i="46"/>
  <c r="G73" i="56"/>
  <c r="F80" i="52"/>
  <c r="G66" i="53"/>
  <c r="F80" i="54"/>
  <c r="F80" i="53"/>
  <c r="F80" i="41"/>
  <c r="F80" i="44"/>
  <c r="F80" i="42"/>
  <c r="F80" i="45"/>
  <c r="F80" i="55"/>
  <c r="F80" i="56"/>
  <c r="F80" i="48"/>
  <c r="F80" i="47"/>
  <c r="F80" i="57"/>
  <c r="G62" i="49"/>
  <c r="F55" i="59"/>
  <c r="D64" i="59" s="1"/>
  <c r="D66" i="59" s="1"/>
  <c r="F90" i="47"/>
  <c r="C62" i="47" s="1"/>
  <c r="E62" i="49"/>
  <c r="D62" i="49"/>
  <c r="C62" i="49"/>
  <c r="E55" i="57"/>
  <c r="C64" i="57" s="1"/>
  <c r="C66" i="57" s="1"/>
  <c r="G73" i="41"/>
  <c r="G73" i="42"/>
  <c r="G73" i="44"/>
  <c r="G73" i="46"/>
  <c r="G73" i="51"/>
  <c r="F77" i="1"/>
  <c r="G80" i="50" s="1"/>
  <c r="G74" i="61"/>
  <c r="G73" i="47"/>
  <c r="G73" i="53"/>
  <c r="G73" i="50"/>
  <c r="G73" i="55"/>
  <c r="G70" i="1"/>
  <c r="H73" i="48" s="1"/>
  <c r="G73" i="54"/>
  <c r="G73" i="48"/>
  <c r="G73" i="52"/>
  <c r="G73" i="45"/>
  <c r="G73" i="57"/>
  <c r="F90" i="57"/>
  <c r="C66" i="53"/>
  <c r="C66" i="51"/>
  <c r="F90" i="46"/>
  <c r="F62" i="46" s="1"/>
  <c r="F55" i="55"/>
  <c r="D64" i="55" s="1"/>
  <c r="D66" i="55" s="1"/>
  <c r="C66" i="41"/>
  <c r="F62" i="42"/>
  <c r="C62" i="51"/>
  <c r="E62" i="51"/>
  <c r="D62" i="42"/>
  <c r="D62" i="51"/>
  <c r="C62" i="52"/>
  <c r="G62" i="51"/>
  <c r="C66" i="49"/>
  <c r="F66" i="53"/>
  <c r="D62" i="52"/>
  <c r="G55" i="52"/>
  <c r="E64" i="52" s="1"/>
  <c r="E66" i="52" s="1"/>
  <c r="F90" i="48"/>
  <c r="D62" i="48" s="1"/>
  <c r="E55" i="52"/>
  <c r="C64" i="52" s="1"/>
  <c r="C66" i="52" s="1"/>
  <c r="F55" i="52"/>
  <c r="D64" i="52" s="1"/>
  <c r="D66" i="52" s="1"/>
  <c r="F112" i="46"/>
  <c r="E66" i="49"/>
  <c r="E66" i="54"/>
  <c r="F112" i="55"/>
  <c r="E65" i="46"/>
  <c r="F112" i="49"/>
  <c r="F112" i="53"/>
  <c r="F112" i="58"/>
  <c r="F112" i="45"/>
  <c r="F112" i="41"/>
  <c r="C66" i="58"/>
  <c r="C66" i="56"/>
  <c r="F90" i="41"/>
  <c r="D62" i="41" s="1"/>
  <c r="F112" i="54"/>
  <c r="C66" i="48"/>
  <c r="F62" i="45"/>
  <c r="G62" i="52"/>
  <c r="G55" i="55"/>
  <c r="E64" i="55" s="1"/>
  <c r="E66" i="55" s="1"/>
  <c r="F62" i="52"/>
  <c r="E62" i="45"/>
  <c r="E62" i="52"/>
  <c r="F112" i="59"/>
  <c r="E62" i="44"/>
  <c r="F113" i="61"/>
  <c r="E55" i="55"/>
  <c r="C64" i="55" s="1"/>
  <c r="C66" i="55" s="1"/>
  <c r="E62" i="50"/>
  <c r="G62" i="45"/>
  <c r="E66" i="53"/>
  <c r="F112" i="56"/>
  <c r="F112" i="42"/>
  <c r="F112" i="47"/>
  <c r="C62" i="50"/>
  <c r="G62" i="50"/>
  <c r="F63" i="61"/>
  <c r="G62" i="44"/>
  <c r="F112" i="48"/>
  <c r="D62" i="44"/>
  <c r="F112" i="57"/>
  <c r="D62" i="45"/>
  <c r="F55" i="60"/>
  <c r="D64" i="60" s="1"/>
  <c r="D66" i="60" s="1"/>
  <c r="F112" i="44"/>
  <c r="C62" i="44"/>
  <c r="F112" i="52"/>
  <c r="F62" i="50"/>
  <c r="F112" i="60"/>
  <c r="E66" i="56"/>
  <c r="F112" i="51"/>
  <c r="C62" i="42"/>
  <c r="G62" i="42"/>
  <c r="C63" i="61"/>
  <c r="E55" i="47"/>
  <c r="C64" i="47" s="1"/>
  <c r="C66" i="47" s="1"/>
  <c r="D58" i="1"/>
  <c r="D63" i="1" s="1"/>
  <c r="F112" i="50"/>
  <c r="B58" i="1"/>
  <c r="B63" i="1" s="1"/>
  <c r="B64" i="1" s="1"/>
  <c r="C57" i="1" s="1"/>
  <c r="E58" i="1"/>
  <c r="E63" i="1" s="1"/>
  <c r="F58" i="1"/>
  <c r="F63" i="1" s="1"/>
  <c r="C58" i="1"/>
  <c r="F55" i="50"/>
  <c r="D64" i="50" s="1"/>
  <c r="D66" i="50" s="1"/>
  <c r="D67" i="50" s="1"/>
  <c r="F46" i="42"/>
  <c r="E55" i="42"/>
  <c r="C64" i="42" s="1"/>
  <c r="C66" i="42" s="1"/>
  <c r="E66" i="48"/>
  <c r="E55" i="50"/>
  <c r="C64" i="50" s="1"/>
  <c r="C66" i="50" s="1"/>
  <c r="G63" i="61"/>
  <c r="F66" i="54"/>
  <c r="D63" i="61"/>
  <c r="E63" i="61"/>
  <c r="D66" i="49"/>
  <c r="H79" i="52"/>
  <c r="H79" i="50"/>
  <c r="H80" i="61"/>
  <c r="F90" i="59"/>
  <c r="I41" i="58"/>
  <c r="I41" i="52"/>
  <c r="I55" i="52" s="1"/>
  <c r="G64" i="52" s="1"/>
  <c r="G66" i="52" s="1"/>
  <c r="H55" i="52"/>
  <c r="F64" i="52" s="1"/>
  <c r="F66" i="52" s="1"/>
  <c r="F56" i="61"/>
  <c r="D65" i="61" s="1"/>
  <c r="D67" i="61" s="1"/>
  <c r="G42" i="61"/>
  <c r="G46" i="57"/>
  <c r="F55" i="57"/>
  <c r="D64" i="57" s="1"/>
  <c r="D66" i="57" s="1"/>
  <c r="I41" i="41"/>
  <c r="F80" i="60"/>
  <c r="G73" i="60"/>
  <c r="H55" i="55"/>
  <c r="F64" i="55" s="1"/>
  <c r="F66" i="55" s="1"/>
  <c r="I41" i="55"/>
  <c r="I55" i="55" s="1"/>
  <c r="G64" i="55" s="1"/>
  <c r="G66" i="55" s="1"/>
  <c r="I41" i="48"/>
  <c r="I55" i="48" s="1"/>
  <c r="G64" i="48" s="1"/>
  <c r="G66" i="48" s="1"/>
  <c r="H55" i="48"/>
  <c r="F64" i="48" s="1"/>
  <c r="F66" i="48" s="1"/>
  <c r="G46" i="41"/>
  <c r="F55" i="41"/>
  <c r="D64" i="41" s="1"/>
  <c r="D66" i="41" s="1"/>
  <c r="H41" i="60"/>
  <c r="G55" i="60"/>
  <c r="E64" i="60" s="1"/>
  <c r="E66" i="60" s="1"/>
  <c r="H55" i="56"/>
  <c r="F64" i="56" s="1"/>
  <c r="F66" i="56" s="1"/>
  <c r="I41" i="56"/>
  <c r="I55" i="56" s="1"/>
  <c r="G64" i="56" s="1"/>
  <c r="G66" i="56" s="1"/>
  <c r="G46" i="58"/>
  <c r="F55" i="58"/>
  <c r="D64" i="58" s="1"/>
  <c r="D66" i="58" s="1"/>
  <c r="I41" i="51"/>
  <c r="G41" i="45"/>
  <c r="F55" i="45"/>
  <c r="D64" i="45" s="1"/>
  <c r="D66" i="45" s="1"/>
  <c r="E56" i="61"/>
  <c r="C65" i="61" s="1"/>
  <c r="C67" i="61" s="1"/>
  <c r="E55" i="60"/>
  <c r="C64" i="60" s="1"/>
  <c r="C66" i="60" s="1"/>
  <c r="G80" i="59"/>
  <c r="H73" i="59"/>
  <c r="F46" i="46"/>
  <c r="E55" i="46"/>
  <c r="C64" i="46" s="1"/>
  <c r="C66" i="46" s="1"/>
  <c r="G55" i="50"/>
  <c r="E64" i="50" s="1"/>
  <c r="E66" i="50" s="1"/>
  <c r="H41" i="50"/>
  <c r="G80" i="58"/>
  <c r="H73" i="58"/>
  <c r="E55" i="45"/>
  <c r="C64" i="45" s="1"/>
  <c r="C66" i="45" s="1"/>
  <c r="C67" i="45" s="1"/>
  <c r="C68" i="45" s="1"/>
  <c r="D61" i="45" s="1"/>
  <c r="H41" i="46"/>
  <c r="H46" i="59"/>
  <c r="G55" i="59"/>
  <c r="E64" i="59" s="1"/>
  <c r="E66" i="59" s="1"/>
  <c r="G46" i="51"/>
  <c r="F55" i="51"/>
  <c r="D64" i="51" s="1"/>
  <c r="D66" i="51" s="1"/>
  <c r="I41" i="44"/>
  <c r="I55" i="44" s="1"/>
  <c r="G64" i="44" s="1"/>
  <c r="G66" i="44" s="1"/>
  <c r="H55" i="44"/>
  <c r="F64" i="44" s="1"/>
  <c r="F66" i="44" s="1"/>
  <c r="F67" i="44" s="1"/>
  <c r="F55" i="47"/>
  <c r="D64" i="47" s="1"/>
  <c r="D66" i="47" s="1"/>
  <c r="G41" i="47"/>
  <c r="I41" i="49"/>
  <c r="I55" i="49" s="1"/>
  <c r="G64" i="49" s="1"/>
  <c r="G66" i="49" s="1"/>
  <c r="H55" i="49"/>
  <c r="F64" i="49" s="1"/>
  <c r="F66" i="49" s="1"/>
  <c r="F67" i="49" s="1"/>
  <c r="I41" i="57"/>
  <c r="D67" i="48" l="1"/>
  <c r="D27" i="64"/>
  <c r="I27" i="64"/>
  <c r="E34" i="64"/>
  <c r="E28" i="64"/>
  <c r="A36" i="64"/>
  <c r="D36" i="64" s="1"/>
  <c r="E35" i="64"/>
  <c r="C63" i="1"/>
  <c r="C64" i="1" s="1"/>
  <c r="D57" i="1" s="1"/>
  <c r="D64" i="1" s="1"/>
  <c r="E57" i="1" s="1"/>
  <c r="E64" i="1" s="1"/>
  <c r="F57" i="1" s="1"/>
  <c r="F64" i="1" s="1"/>
  <c r="H74" i="49"/>
  <c r="B27" i="64"/>
  <c r="C27" i="64"/>
  <c r="C37" i="64"/>
  <c r="H74" i="48"/>
  <c r="F15" i="55"/>
  <c r="D88" i="55" s="1"/>
  <c r="F88" i="55" s="1"/>
  <c r="F90" i="55" s="1"/>
  <c r="F13" i="54"/>
  <c r="D86" i="54" s="1"/>
  <c r="F86" i="54" s="1"/>
  <c r="F90" i="56"/>
  <c r="C62" i="56" s="1"/>
  <c r="C67" i="56" s="1"/>
  <c r="C68" i="56" s="1"/>
  <c r="D61" i="56" s="1"/>
  <c r="B37" i="64"/>
  <c r="E62" i="60"/>
  <c r="E67" i="60" s="1"/>
  <c r="G62" i="60"/>
  <c r="D62" i="60"/>
  <c r="D67" i="60" s="1"/>
  <c r="C62" i="60"/>
  <c r="C67" i="60" s="1"/>
  <c r="C68" i="60" s="1"/>
  <c r="D61" i="60" s="1"/>
  <c r="F62" i="60"/>
  <c r="H74" i="54"/>
  <c r="H79" i="51"/>
  <c r="H79" i="57"/>
  <c r="H79" i="41"/>
  <c r="H79" i="42"/>
  <c r="H79" i="49"/>
  <c r="H74" i="56"/>
  <c r="H74" i="55"/>
  <c r="H74" i="53"/>
  <c r="H74" i="47"/>
  <c r="H74" i="57"/>
  <c r="H74" i="44"/>
  <c r="H74" i="45"/>
  <c r="H71" i="1"/>
  <c r="I74" i="46" s="1"/>
  <c r="H74" i="46"/>
  <c r="H75" i="61"/>
  <c r="H74" i="41"/>
  <c r="H74" i="50"/>
  <c r="H74" i="51"/>
  <c r="H74" i="42"/>
  <c r="H79" i="44"/>
  <c r="H79" i="53"/>
  <c r="H79" i="46"/>
  <c r="H79" i="55"/>
  <c r="H79" i="47"/>
  <c r="H76" i="1"/>
  <c r="I79" i="52" s="1"/>
  <c r="H79" i="45"/>
  <c r="H79" i="54"/>
  <c r="H79" i="56"/>
  <c r="H75" i="48"/>
  <c r="H75" i="56"/>
  <c r="H75" i="55"/>
  <c r="H75" i="46"/>
  <c r="H75" i="47"/>
  <c r="H75" i="54"/>
  <c r="H75" i="49"/>
  <c r="H75" i="57"/>
  <c r="H75" i="45"/>
  <c r="H75" i="53"/>
  <c r="H75" i="44"/>
  <c r="H75" i="52"/>
  <c r="H72" i="1"/>
  <c r="H75" i="42"/>
  <c r="H75" i="51"/>
  <c r="H75" i="50"/>
  <c r="H75" i="41"/>
  <c r="H76" i="61"/>
  <c r="G81" i="61"/>
  <c r="C62" i="58"/>
  <c r="C67" i="58" s="1"/>
  <c r="C68" i="58" s="1"/>
  <c r="D61" i="58" s="1"/>
  <c r="D67" i="44"/>
  <c r="G62" i="58"/>
  <c r="D62" i="58"/>
  <c r="D67" i="58" s="1"/>
  <c r="G67" i="49"/>
  <c r="F62" i="58"/>
  <c r="H73" i="42"/>
  <c r="H73" i="44"/>
  <c r="H73" i="45"/>
  <c r="H73" i="51"/>
  <c r="H74" i="61"/>
  <c r="H73" i="52"/>
  <c r="H73" i="54"/>
  <c r="H73" i="57"/>
  <c r="G77" i="1"/>
  <c r="H80" i="48" s="1"/>
  <c r="H73" i="41"/>
  <c r="G80" i="54"/>
  <c r="D67" i="49"/>
  <c r="E62" i="47"/>
  <c r="F62" i="47"/>
  <c r="G80" i="49"/>
  <c r="G80" i="46"/>
  <c r="G62" i="47"/>
  <c r="D62" i="47"/>
  <c r="D67" i="47" s="1"/>
  <c r="C67" i="49"/>
  <c r="C68" i="49" s="1"/>
  <c r="D61" i="49" s="1"/>
  <c r="E67" i="49"/>
  <c r="F62" i="57"/>
  <c r="D62" i="57"/>
  <c r="D67" i="57" s="1"/>
  <c r="G80" i="55"/>
  <c r="G62" i="57"/>
  <c r="G80" i="56"/>
  <c r="G80" i="57"/>
  <c r="G80" i="45"/>
  <c r="G80" i="47"/>
  <c r="G80" i="53"/>
  <c r="G80" i="48"/>
  <c r="H73" i="49"/>
  <c r="G80" i="42"/>
  <c r="G80" i="51"/>
  <c r="H70" i="1"/>
  <c r="I73" i="50" s="1"/>
  <c r="H73" i="53"/>
  <c r="H73" i="50"/>
  <c r="G80" i="52"/>
  <c r="G80" i="44"/>
  <c r="G80" i="41"/>
  <c r="H73" i="46"/>
  <c r="H73" i="55"/>
  <c r="H73" i="47"/>
  <c r="H73" i="56"/>
  <c r="C62" i="57"/>
  <c r="C67" i="57" s="1"/>
  <c r="C68" i="57" s="1"/>
  <c r="D61" i="57" s="1"/>
  <c r="E62" i="57"/>
  <c r="E62" i="46"/>
  <c r="C67" i="51"/>
  <c r="C68" i="51" s="1"/>
  <c r="D61" i="51" s="1"/>
  <c r="C62" i="46"/>
  <c r="C67" i="46" s="1"/>
  <c r="C68" i="46" s="1"/>
  <c r="D61" i="46" s="1"/>
  <c r="D62" i="46"/>
  <c r="G62" i="46"/>
  <c r="D67" i="51"/>
  <c r="G67" i="44"/>
  <c r="D67" i="52"/>
  <c r="E67" i="50"/>
  <c r="C67" i="52"/>
  <c r="C68" i="52" s="1"/>
  <c r="D61" i="52" s="1"/>
  <c r="G62" i="48"/>
  <c r="G67" i="48" s="1"/>
  <c r="E67" i="52"/>
  <c r="E62" i="48"/>
  <c r="E67" i="48" s="1"/>
  <c r="C62" i="48"/>
  <c r="C67" i="48" s="1"/>
  <c r="C68" i="48" s="1"/>
  <c r="D61" i="48" s="1"/>
  <c r="E62" i="41"/>
  <c r="F62" i="48"/>
  <c r="F67" i="48" s="1"/>
  <c r="F67" i="52"/>
  <c r="F62" i="41"/>
  <c r="G62" i="41"/>
  <c r="C62" i="41"/>
  <c r="C67" i="41" s="1"/>
  <c r="C68" i="41" s="1"/>
  <c r="D61" i="41" s="1"/>
  <c r="D67" i="41"/>
  <c r="E67" i="44"/>
  <c r="C67" i="50"/>
  <c r="C68" i="50" s="1"/>
  <c r="D61" i="50" s="1"/>
  <c r="D68" i="50" s="1"/>
  <c r="E61" i="50" s="1"/>
  <c r="G67" i="52"/>
  <c r="D67" i="45"/>
  <c r="D68" i="45" s="1"/>
  <c r="E61" i="45" s="1"/>
  <c r="C68" i="61"/>
  <c r="C69" i="61" s="1"/>
  <c r="D62" i="61" s="1"/>
  <c r="C67" i="47"/>
  <c r="C68" i="47" s="1"/>
  <c r="D61" i="47" s="1"/>
  <c r="C67" i="44"/>
  <c r="C68" i="44" s="1"/>
  <c r="D61" i="44" s="1"/>
  <c r="D68" i="61"/>
  <c r="C67" i="42"/>
  <c r="C68" i="42" s="1"/>
  <c r="D61" i="42" s="1"/>
  <c r="G46" i="42"/>
  <c r="F55" i="42"/>
  <c r="D64" i="42" s="1"/>
  <c r="D66" i="42" s="1"/>
  <c r="D67" i="42" s="1"/>
  <c r="I79" i="48"/>
  <c r="I79" i="47"/>
  <c r="I79" i="46"/>
  <c r="I79" i="45"/>
  <c r="I79" i="56"/>
  <c r="I79" i="55"/>
  <c r="I79" i="54"/>
  <c r="I79" i="53"/>
  <c r="F62" i="59"/>
  <c r="E62" i="59"/>
  <c r="E67" i="59" s="1"/>
  <c r="C62" i="59"/>
  <c r="C67" i="59" s="1"/>
  <c r="C68" i="59" s="1"/>
  <c r="D61" i="59" s="1"/>
  <c r="D62" i="59"/>
  <c r="D67" i="59" s="1"/>
  <c r="G62" i="59"/>
  <c r="H41" i="47"/>
  <c r="G55" i="47"/>
  <c r="E64" i="47" s="1"/>
  <c r="E66" i="47" s="1"/>
  <c r="H80" i="59"/>
  <c r="I73" i="59"/>
  <c r="I80" i="59" s="1"/>
  <c r="H41" i="45"/>
  <c r="G55" i="45"/>
  <c r="E64" i="45" s="1"/>
  <c r="E66" i="45" s="1"/>
  <c r="E67" i="45" s="1"/>
  <c r="H46" i="58"/>
  <c r="G55" i="58"/>
  <c r="E64" i="58" s="1"/>
  <c r="E66" i="58" s="1"/>
  <c r="E67" i="58" s="1"/>
  <c r="I41" i="60"/>
  <c r="I55" i="60" s="1"/>
  <c r="G64" i="60" s="1"/>
  <c r="G66" i="60" s="1"/>
  <c r="H55" i="60"/>
  <c r="F64" i="60" s="1"/>
  <c r="F66" i="60" s="1"/>
  <c r="H46" i="57"/>
  <c r="G55" i="57"/>
  <c r="E64" i="57" s="1"/>
  <c r="E66" i="57" s="1"/>
  <c r="I46" i="59"/>
  <c r="I55" i="59" s="1"/>
  <c r="G64" i="59" s="1"/>
  <c r="G66" i="59" s="1"/>
  <c r="H55" i="59"/>
  <c r="F64" i="59" s="1"/>
  <c r="F66" i="59" s="1"/>
  <c r="H55" i="50"/>
  <c r="F64" i="50" s="1"/>
  <c r="F66" i="50" s="1"/>
  <c r="F67" i="50" s="1"/>
  <c r="I41" i="50"/>
  <c r="I55" i="50" s="1"/>
  <c r="G64" i="50" s="1"/>
  <c r="G66" i="50" s="1"/>
  <c r="G67" i="50" s="1"/>
  <c r="G46" i="46"/>
  <c r="F55" i="46"/>
  <c r="D64" i="46" s="1"/>
  <c r="D66" i="46" s="1"/>
  <c r="H46" i="41"/>
  <c r="G55" i="41"/>
  <c r="E64" i="41" s="1"/>
  <c r="E66" i="41" s="1"/>
  <c r="G80" i="60"/>
  <c r="H73" i="60"/>
  <c r="H46" i="51"/>
  <c r="G55" i="51"/>
  <c r="E64" i="51" s="1"/>
  <c r="E66" i="51" s="1"/>
  <c r="E67" i="51" s="1"/>
  <c r="I41" i="46"/>
  <c r="I73" i="58"/>
  <c r="I80" i="58" s="1"/>
  <c r="H80" i="58"/>
  <c r="G56" i="61"/>
  <c r="E65" i="61" s="1"/>
  <c r="E67" i="61" s="1"/>
  <c r="E68" i="61" s="1"/>
  <c r="H42" i="61"/>
  <c r="D68" i="48" l="1"/>
  <c r="E61" i="48" s="1"/>
  <c r="E68" i="48" s="1"/>
  <c r="F61" i="48" s="1"/>
  <c r="F68" i="48" s="1"/>
  <c r="G61" i="48" s="1"/>
  <c r="G68" i="48" s="1"/>
  <c r="A37" i="64"/>
  <c r="D37" i="64" s="1"/>
  <c r="E36" i="64"/>
  <c r="E27" i="64"/>
  <c r="E62" i="56"/>
  <c r="E67" i="56" s="1"/>
  <c r="F15" i="54"/>
  <c r="D88" i="54" s="1"/>
  <c r="F88" i="54" s="1"/>
  <c r="F13" i="53"/>
  <c r="D86" i="53" s="1"/>
  <c r="F86" i="53" s="1"/>
  <c r="D62" i="56"/>
  <c r="D67" i="56" s="1"/>
  <c r="D68" i="56" s="1"/>
  <c r="E61" i="56" s="1"/>
  <c r="F62" i="56"/>
  <c r="F67" i="56" s="1"/>
  <c r="G62" i="56"/>
  <c r="G67" i="56" s="1"/>
  <c r="G67" i="60"/>
  <c r="F67" i="60"/>
  <c r="F14" i="54"/>
  <c r="D87" i="54" s="1"/>
  <c r="F87" i="54" s="1"/>
  <c r="G62" i="55"/>
  <c r="G67" i="55" s="1"/>
  <c r="D62" i="55"/>
  <c r="D67" i="55" s="1"/>
  <c r="E62" i="55"/>
  <c r="E67" i="55" s="1"/>
  <c r="C62" i="55"/>
  <c r="C67" i="55" s="1"/>
  <c r="C68" i="55" s="1"/>
  <c r="D61" i="55" s="1"/>
  <c r="F62" i="55"/>
  <c r="F67" i="55" s="1"/>
  <c r="I74" i="49"/>
  <c r="I74" i="50"/>
  <c r="I74" i="55"/>
  <c r="I74" i="48"/>
  <c r="I74" i="51"/>
  <c r="I74" i="56"/>
  <c r="I74" i="57"/>
  <c r="I74" i="41"/>
  <c r="I74" i="42"/>
  <c r="I74" i="47"/>
  <c r="I75" i="61"/>
  <c r="I74" i="44"/>
  <c r="I74" i="52"/>
  <c r="I74" i="53"/>
  <c r="I74" i="45"/>
  <c r="I74" i="54"/>
  <c r="I79" i="49"/>
  <c r="I79" i="57"/>
  <c r="I79" i="41"/>
  <c r="I79" i="50"/>
  <c r="I79" i="42"/>
  <c r="I79" i="51"/>
  <c r="I80" i="61"/>
  <c r="I79" i="44"/>
  <c r="I75" i="51"/>
  <c r="I75" i="44"/>
  <c r="I76" i="61"/>
  <c r="I75" i="52"/>
  <c r="I75" i="42"/>
  <c r="I75" i="41"/>
  <c r="I75" i="57"/>
  <c r="I75" i="56"/>
  <c r="I75" i="53"/>
  <c r="I75" i="50"/>
  <c r="I75" i="49"/>
  <c r="I75" i="45"/>
  <c r="I75" i="48"/>
  <c r="I75" i="47"/>
  <c r="I75" i="55"/>
  <c r="I75" i="46"/>
  <c r="I75" i="54"/>
  <c r="H81" i="61"/>
  <c r="D68" i="44"/>
  <c r="E61" i="44" s="1"/>
  <c r="E68" i="44" s="1"/>
  <c r="F61" i="44" s="1"/>
  <c r="F68" i="44" s="1"/>
  <c r="G61" i="44" s="1"/>
  <c r="G68" i="44" s="1"/>
  <c r="I73" i="56"/>
  <c r="H80" i="54"/>
  <c r="H80" i="49"/>
  <c r="H80" i="57"/>
  <c r="H80" i="46"/>
  <c r="H80" i="41"/>
  <c r="H80" i="50"/>
  <c r="H80" i="42"/>
  <c r="H80" i="51"/>
  <c r="H80" i="44"/>
  <c r="H80" i="52"/>
  <c r="H80" i="53"/>
  <c r="H80" i="45"/>
  <c r="H80" i="55"/>
  <c r="H80" i="47"/>
  <c r="H80" i="56"/>
  <c r="I73" i="55"/>
  <c r="D68" i="49"/>
  <c r="E61" i="49" s="1"/>
  <c r="E68" i="49" s="1"/>
  <c r="F61" i="49" s="1"/>
  <c r="F68" i="49" s="1"/>
  <c r="G61" i="49" s="1"/>
  <c r="G68" i="49" s="1"/>
  <c r="E67" i="47"/>
  <c r="I73" i="47"/>
  <c r="I73" i="48"/>
  <c r="I73" i="57"/>
  <c r="I73" i="49"/>
  <c r="I73" i="41"/>
  <c r="I74" i="61"/>
  <c r="H77" i="1"/>
  <c r="I80" i="49" s="1"/>
  <c r="I73" i="53"/>
  <c r="I73" i="45"/>
  <c r="I73" i="52"/>
  <c r="I73" i="42"/>
  <c r="I73" i="51"/>
  <c r="I73" i="44"/>
  <c r="I73" i="54"/>
  <c r="I73" i="46"/>
  <c r="E67" i="57"/>
  <c r="D67" i="46"/>
  <c r="D68" i="46" s="1"/>
  <c r="E61" i="46" s="1"/>
  <c r="D68" i="51"/>
  <c r="E61" i="51" s="1"/>
  <c r="E68" i="51" s="1"/>
  <c r="F61" i="51" s="1"/>
  <c r="D68" i="58"/>
  <c r="E61" i="58" s="1"/>
  <c r="E68" i="58" s="1"/>
  <c r="F61" i="58" s="1"/>
  <c r="D68" i="57"/>
  <c r="E61" i="57" s="1"/>
  <c r="D68" i="52"/>
  <c r="E61" i="52" s="1"/>
  <c r="E68" i="52" s="1"/>
  <c r="F61" i="52" s="1"/>
  <c r="F68" i="52" s="1"/>
  <c r="G61" i="52" s="1"/>
  <c r="G68" i="52" s="1"/>
  <c r="E67" i="41"/>
  <c r="E68" i="50"/>
  <c r="F61" i="50" s="1"/>
  <c r="F68" i="50" s="1"/>
  <c r="G61" i="50" s="1"/>
  <c r="G68" i="50" s="1"/>
  <c r="D68" i="41"/>
  <c r="E61" i="41" s="1"/>
  <c r="D68" i="60"/>
  <c r="E61" i="60" s="1"/>
  <c r="E68" i="60" s="1"/>
  <c r="F61" i="60" s="1"/>
  <c r="D69" i="61"/>
  <c r="E62" i="61" s="1"/>
  <c r="E69" i="61" s="1"/>
  <c r="F62" i="61" s="1"/>
  <c r="D68" i="47"/>
  <c r="E61" i="47" s="1"/>
  <c r="D68" i="42"/>
  <c r="E61" i="42" s="1"/>
  <c r="G67" i="59"/>
  <c r="H46" i="42"/>
  <c r="G55" i="42"/>
  <c r="E64" i="42" s="1"/>
  <c r="E66" i="42" s="1"/>
  <c r="E67" i="42" s="1"/>
  <c r="F67" i="59"/>
  <c r="F113" i="59"/>
  <c r="F114" i="59" s="1"/>
  <c r="F116" i="59" s="1"/>
  <c r="F122" i="59" s="1"/>
  <c r="F113" i="58"/>
  <c r="F114" i="58" s="1"/>
  <c r="F116" i="58" s="1"/>
  <c r="F122" i="58" s="1"/>
  <c r="E68" i="45"/>
  <c r="F61" i="45" s="1"/>
  <c r="D68" i="59"/>
  <c r="E61" i="59" s="1"/>
  <c r="E68" i="59" s="1"/>
  <c r="F61" i="59" s="1"/>
  <c r="H56" i="61"/>
  <c r="F65" i="61" s="1"/>
  <c r="F67" i="61" s="1"/>
  <c r="F68" i="61" s="1"/>
  <c r="I42" i="61"/>
  <c r="I56" i="61" s="1"/>
  <c r="G65" i="61" s="1"/>
  <c r="G67" i="61" s="1"/>
  <c r="G68" i="61" s="1"/>
  <c r="I46" i="41"/>
  <c r="I55" i="41" s="1"/>
  <c r="G64" i="41" s="1"/>
  <c r="G66" i="41" s="1"/>
  <c r="G67" i="41" s="1"/>
  <c r="H55" i="41"/>
  <c r="F64" i="41" s="1"/>
  <c r="F66" i="41" s="1"/>
  <c r="F67" i="41" s="1"/>
  <c r="I41" i="47"/>
  <c r="I55" i="47" s="1"/>
  <c r="G64" i="47" s="1"/>
  <c r="G66" i="47" s="1"/>
  <c r="G67" i="47" s="1"/>
  <c r="H55" i="47"/>
  <c r="F64" i="47" s="1"/>
  <c r="F66" i="47" s="1"/>
  <c r="F67" i="47" s="1"/>
  <c r="I46" i="51"/>
  <c r="I55" i="51" s="1"/>
  <c r="G64" i="51" s="1"/>
  <c r="G66" i="51" s="1"/>
  <c r="G67" i="51" s="1"/>
  <c r="H55" i="51"/>
  <c r="F64" i="51" s="1"/>
  <c r="F66" i="51" s="1"/>
  <c r="F67" i="51" s="1"/>
  <c r="I46" i="57"/>
  <c r="I55" i="57" s="1"/>
  <c r="G64" i="57" s="1"/>
  <c r="G66" i="57" s="1"/>
  <c r="G67" i="57" s="1"/>
  <c r="H55" i="57"/>
  <c r="F64" i="57" s="1"/>
  <c r="F66" i="57" s="1"/>
  <c r="F67" i="57" s="1"/>
  <c r="I46" i="58"/>
  <c r="I55" i="58" s="1"/>
  <c r="G64" i="58" s="1"/>
  <c r="G66" i="58" s="1"/>
  <c r="G67" i="58" s="1"/>
  <c r="H55" i="58"/>
  <c r="F64" i="58" s="1"/>
  <c r="F66" i="58" s="1"/>
  <c r="F67" i="58" s="1"/>
  <c r="H46" i="46"/>
  <c r="G55" i="46"/>
  <c r="E64" i="46" s="1"/>
  <c r="E66" i="46" s="1"/>
  <c r="E67" i="46" s="1"/>
  <c r="I73" i="60"/>
  <c r="I80" i="60" s="1"/>
  <c r="H80" i="60"/>
  <c r="I41" i="45"/>
  <c r="I55" i="45" s="1"/>
  <c r="G64" i="45" s="1"/>
  <c r="G66" i="45" s="1"/>
  <c r="G67" i="45" s="1"/>
  <c r="H55" i="45"/>
  <c r="F64" i="45" s="1"/>
  <c r="F66" i="45" s="1"/>
  <c r="F67" i="45" s="1"/>
  <c r="E37" i="64" l="1"/>
  <c r="E68" i="56"/>
  <c r="F61" i="56" s="1"/>
  <c r="F68" i="56" s="1"/>
  <c r="G61" i="56" s="1"/>
  <c r="G68" i="56" s="1"/>
  <c r="F90" i="54"/>
  <c r="F68" i="60"/>
  <c r="G61" i="60" s="1"/>
  <c r="G68" i="60" s="1"/>
  <c r="D68" i="55"/>
  <c r="E61" i="55" s="1"/>
  <c r="E68" i="55" s="1"/>
  <c r="F61" i="55" s="1"/>
  <c r="F68" i="55" s="1"/>
  <c r="G61" i="55" s="1"/>
  <c r="G68" i="55" s="1"/>
  <c r="I81" i="61"/>
  <c r="F114" i="61" s="1"/>
  <c r="F115" i="61" s="1"/>
  <c r="F113" i="49"/>
  <c r="F114" i="49" s="1"/>
  <c r="F116" i="49" s="1"/>
  <c r="F120" i="49" s="1"/>
  <c r="E68" i="47"/>
  <c r="F61" i="47" s="1"/>
  <c r="F68" i="47" s="1"/>
  <c r="G61" i="47" s="1"/>
  <c r="G68" i="47" s="1"/>
  <c r="E106" i="1"/>
  <c r="E107" i="1" s="1"/>
  <c r="E109" i="1" s="1"/>
  <c r="D38" i="8" s="1"/>
  <c r="I80" i="51"/>
  <c r="F113" i="51" s="1"/>
  <c r="F114" i="51" s="1"/>
  <c r="F116" i="51" s="1"/>
  <c r="F122" i="51" s="1"/>
  <c r="I80" i="53"/>
  <c r="F113" i="53" s="1"/>
  <c r="F114" i="53" s="1"/>
  <c r="F116" i="53" s="1"/>
  <c r="I80" i="41"/>
  <c r="F113" i="41" s="1"/>
  <c r="F114" i="41" s="1"/>
  <c r="F116" i="41" s="1"/>
  <c r="F127" i="41" s="1"/>
  <c r="I80" i="42"/>
  <c r="F113" i="42" s="1"/>
  <c r="F114" i="42" s="1"/>
  <c r="F116" i="42" s="1"/>
  <c r="F127" i="42" s="1"/>
  <c r="I80" i="44"/>
  <c r="F113" i="44" s="1"/>
  <c r="F114" i="44" s="1"/>
  <c r="F116" i="44" s="1"/>
  <c r="F127" i="44" s="1"/>
  <c r="I80" i="52"/>
  <c r="F113" i="52" s="1"/>
  <c r="F114" i="52" s="1"/>
  <c r="F116" i="52" s="1"/>
  <c r="F120" i="52" s="1"/>
  <c r="I80" i="45"/>
  <c r="F113" i="45" s="1"/>
  <c r="F114" i="45" s="1"/>
  <c r="F116" i="45" s="1"/>
  <c r="F122" i="45" s="1"/>
  <c r="I80" i="50"/>
  <c r="F113" i="50" s="1"/>
  <c r="F114" i="50" s="1"/>
  <c r="F116" i="50" s="1"/>
  <c r="F127" i="50" s="1"/>
  <c r="I80" i="54"/>
  <c r="F113" i="54" s="1"/>
  <c r="F114" i="54" s="1"/>
  <c r="F116" i="54" s="1"/>
  <c r="F127" i="54" s="1"/>
  <c r="I80" i="46"/>
  <c r="F113" i="46" s="1"/>
  <c r="F114" i="46" s="1"/>
  <c r="F116" i="46" s="1"/>
  <c r="F120" i="46" s="1"/>
  <c r="I80" i="47"/>
  <c r="F113" i="47" s="1"/>
  <c r="F114" i="47" s="1"/>
  <c r="F116" i="47" s="1"/>
  <c r="F120" i="47" s="1"/>
  <c r="I80" i="56"/>
  <c r="F113" i="56" s="1"/>
  <c r="F114" i="56" s="1"/>
  <c r="F116" i="56" s="1"/>
  <c r="F122" i="56" s="1"/>
  <c r="I80" i="48"/>
  <c r="F113" i="48" s="1"/>
  <c r="F114" i="48" s="1"/>
  <c r="F116" i="48" s="1"/>
  <c r="F122" i="48" s="1"/>
  <c r="I80" i="55"/>
  <c r="F113" i="55" s="1"/>
  <c r="F114" i="55" s="1"/>
  <c r="F116" i="55" s="1"/>
  <c r="F127" i="55" s="1"/>
  <c r="I80" i="57"/>
  <c r="F113" i="57" s="1"/>
  <c r="F114" i="57" s="1"/>
  <c r="F116" i="57" s="1"/>
  <c r="F120" i="57" s="1"/>
  <c r="E68" i="57"/>
  <c r="F61" i="57" s="1"/>
  <c r="F68" i="57" s="1"/>
  <c r="G61" i="57" s="1"/>
  <c r="G68" i="57" s="1"/>
  <c r="E68" i="41"/>
  <c r="F61" i="41" s="1"/>
  <c r="F68" i="41" s="1"/>
  <c r="G61" i="41" s="1"/>
  <c r="G68" i="41" s="1"/>
  <c r="F68" i="51"/>
  <c r="G61" i="51" s="1"/>
  <c r="G68" i="51" s="1"/>
  <c r="E68" i="42"/>
  <c r="F61" i="42" s="1"/>
  <c r="F69" i="61"/>
  <c r="G62" i="61" s="1"/>
  <c r="G69" i="61" s="1"/>
  <c r="F68" i="45"/>
  <c r="G61" i="45" s="1"/>
  <c r="G68" i="45" s="1"/>
  <c r="I46" i="42"/>
  <c r="I55" i="42" s="1"/>
  <c r="G64" i="42" s="1"/>
  <c r="G66" i="42" s="1"/>
  <c r="G67" i="42" s="1"/>
  <c r="H55" i="42"/>
  <c r="F64" i="42" s="1"/>
  <c r="F66" i="42" s="1"/>
  <c r="F67" i="42" s="1"/>
  <c r="E68" i="46"/>
  <c r="F61" i="46" s="1"/>
  <c r="F68" i="58"/>
  <c r="G61" i="58" s="1"/>
  <c r="G68" i="58" s="1"/>
  <c r="F68" i="59"/>
  <c r="G61" i="59" s="1"/>
  <c r="G68" i="59" s="1"/>
  <c r="F126" i="59"/>
  <c r="F121" i="59"/>
  <c r="F120" i="58"/>
  <c r="F125" i="58"/>
  <c r="F120" i="59"/>
  <c r="F121" i="58"/>
  <c r="F127" i="58"/>
  <c r="F125" i="59"/>
  <c r="F127" i="59"/>
  <c r="F126" i="58"/>
  <c r="F113" i="60"/>
  <c r="F114" i="60" s="1"/>
  <c r="F116" i="60" s="1"/>
  <c r="F126" i="60" s="1"/>
  <c r="I46" i="46"/>
  <c r="I55" i="46" s="1"/>
  <c r="G64" i="46" s="1"/>
  <c r="G66" i="46" s="1"/>
  <c r="G67" i="46" s="1"/>
  <c r="H55" i="46"/>
  <c r="F64" i="46" s="1"/>
  <c r="F66" i="46" s="1"/>
  <c r="F67" i="46" s="1"/>
  <c r="F38" i="8" l="1"/>
  <c r="G38" i="8"/>
  <c r="E38" i="8"/>
  <c r="F33" i="10"/>
  <c r="F34" i="10"/>
  <c r="F35" i="10"/>
  <c r="F36" i="10"/>
  <c r="F37" i="10"/>
  <c r="F29" i="10"/>
  <c r="F30" i="10"/>
  <c r="F32" i="10"/>
  <c r="F31" i="10"/>
  <c r="F15" i="10"/>
  <c r="F21" i="10"/>
  <c r="F18" i="10"/>
  <c r="F20" i="10"/>
  <c r="F16" i="10"/>
  <c r="F17" i="10"/>
  <c r="F19" i="10"/>
  <c r="F11" i="10"/>
  <c r="F12" i="10"/>
  <c r="F7" i="10"/>
  <c r="F9" i="10"/>
  <c r="F10" i="10"/>
  <c r="F8" i="10"/>
  <c r="F14" i="10"/>
  <c r="F13" i="10"/>
  <c r="D32" i="8"/>
  <c r="G32" i="8" s="1"/>
  <c r="D35" i="8"/>
  <c r="G35" i="8" s="1"/>
  <c r="D37" i="8"/>
  <c r="G37" i="8" s="1"/>
  <c r="D33" i="8"/>
  <c r="G33" i="8" s="1"/>
  <c r="D34" i="8"/>
  <c r="G34" i="8" s="1"/>
  <c r="D36" i="8"/>
  <c r="G36" i="8" s="1"/>
  <c r="D30" i="8"/>
  <c r="G30" i="8" s="1"/>
  <c r="D27" i="8"/>
  <c r="G27" i="8" s="1"/>
  <c r="D26" i="8"/>
  <c r="G26" i="8" s="1"/>
  <c r="D25" i="8"/>
  <c r="G25" i="8" s="1"/>
  <c r="D29" i="8"/>
  <c r="G29" i="8" s="1"/>
  <c r="D28" i="8"/>
  <c r="G28" i="8" s="1"/>
  <c r="D24" i="8"/>
  <c r="G24" i="8" s="1"/>
  <c r="D12" i="8"/>
  <c r="D16" i="8" s="1"/>
  <c r="F16" i="8" s="1"/>
  <c r="D31" i="8"/>
  <c r="F32" i="64"/>
  <c r="F28" i="64"/>
  <c r="F27" i="64"/>
  <c r="F33" i="64"/>
  <c r="I33" i="64" s="1"/>
  <c r="F34" i="64"/>
  <c r="I34" i="64" s="1"/>
  <c r="F35" i="64"/>
  <c r="I35" i="64" s="1"/>
  <c r="F36" i="64"/>
  <c r="I36" i="64" s="1"/>
  <c r="F37" i="64"/>
  <c r="I37" i="64" s="1"/>
  <c r="F31" i="64"/>
  <c r="I31" i="64" s="1"/>
  <c r="F29" i="64"/>
  <c r="I29" i="64" s="1"/>
  <c r="F30" i="64"/>
  <c r="I30" i="64" s="1"/>
  <c r="D38" i="63"/>
  <c r="E38" i="63" s="1"/>
  <c r="C62" i="54"/>
  <c r="C67" i="54" s="1"/>
  <c r="C68" i="54" s="1"/>
  <c r="D61" i="54" s="1"/>
  <c r="D62" i="54"/>
  <c r="D67" i="54" s="1"/>
  <c r="F14" i="53"/>
  <c r="D87" i="53" s="1"/>
  <c r="F87" i="53" s="1"/>
  <c r="F62" i="54"/>
  <c r="F67" i="54" s="1"/>
  <c r="G62" i="54"/>
  <c r="G67" i="54" s="1"/>
  <c r="F15" i="53"/>
  <c r="D88" i="53" s="1"/>
  <c r="F88" i="53" s="1"/>
  <c r="E62" i="54"/>
  <c r="E67" i="54" s="1"/>
  <c r="F117" i="61"/>
  <c r="F128" i="61" s="1"/>
  <c r="F14" i="64"/>
  <c r="F21" i="64"/>
  <c r="F12" i="64"/>
  <c r="I12" i="64" s="1"/>
  <c r="F20" i="64"/>
  <c r="F11" i="64"/>
  <c r="I11" i="64" s="1"/>
  <c r="F19" i="64"/>
  <c r="F10" i="64"/>
  <c r="I10" i="64" s="1"/>
  <c r="F18" i="64"/>
  <c r="F9" i="64"/>
  <c r="I9" i="64" s="1"/>
  <c r="F17" i="64"/>
  <c r="F8" i="64"/>
  <c r="I8" i="64" s="1"/>
  <c r="F16" i="64"/>
  <c r="F7" i="64"/>
  <c r="I7" i="64" s="1"/>
  <c r="F15" i="64"/>
  <c r="F13" i="64"/>
  <c r="I13" i="64" s="1"/>
  <c r="D32" i="63"/>
  <c r="G32" i="63" s="1"/>
  <c r="D34" i="63"/>
  <c r="G34" i="63" s="1"/>
  <c r="D35" i="63"/>
  <c r="G35" i="63" s="1"/>
  <c r="D36" i="63"/>
  <c r="G36" i="63" s="1"/>
  <c r="D37" i="63"/>
  <c r="G37" i="63" s="1"/>
  <c r="D33" i="63"/>
  <c r="G33" i="63" s="1"/>
  <c r="D26" i="63"/>
  <c r="G26" i="63" s="1"/>
  <c r="D29" i="63"/>
  <c r="G29" i="63" s="1"/>
  <c r="D27" i="63"/>
  <c r="G27" i="63" s="1"/>
  <c r="D28" i="63"/>
  <c r="G28" i="63" s="1"/>
  <c r="D24" i="63"/>
  <c r="G24" i="63" s="1"/>
  <c r="D25" i="63"/>
  <c r="G25" i="63" s="1"/>
  <c r="D31" i="63"/>
  <c r="D30" i="63"/>
  <c r="G30" i="63" s="1"/>
  <c r="D12" i="63"/>
  <c r="E119" i="1"/>
  <c r="I32" i="10" s="1"/>
  <c r="F125" i="49"/>
  <c r="F126" i="49"/>
  <c r="F127" i="49"/>
  <c r="F122" i="49"/>
  <c r="F121" i="49"/>
  <c r="F122" i="52"/>
  <c r="F121" i="52"/>
  <c r="F126" i="44"/>
  <c r="F125" i="45"/>
  <c r="F125" i="44"/>
  <c r="F121" i="44"/>
  <c r="F120" i="51"/>
  <c r="F121" i="51"/>
  <c r="F122" i="50"/>
  <c r="E117" i="1"/>
  <c r="F120" i="44"/>
  <c r="F122" i="44"/>
  <c r="F126" i="50"/>
  <c r="F126" i="52"/>
  <c r="F127" i="52"/>
  <c r="F125" i="52"/>
  <c r="F120" i="50"/>
  <c r="E114" i="1"/>
  <c r="F126" i="51"/>
  <c r="F125" i="50"/>
  <c r="F126" i="53"/>
  <c r="F121" i="53"/>
  <c r="E113" i="1"/>
  <c r="G32" i="10" s="1"/>
  <c r="E115" i="1"/>
  <c r="I32" i="64" s="1"/>
  <c r="E118" i="1"/>
  <c r="H32" i="10" s="1"/>
  <c r="F125" i="51"/>
  <c r="F120" i="41"/>
  <c r="F121" i="50"/>
  <c r="F121" i="41"/>
  <c r="F127" i="51"/>
  <c r="F121" i="42"/>
  <c r="F125" i="41"/>
  <c r="F120" i="42"/>
  <c r="F122" i="41"/>
  <c r="F122" i="42"/>
  <c r="F126" i="45"/>
  <c r="F125" i="42"/>
  <c r="F121" i="45"/>
  <c r="F126" i="41"/>
  <c r="F120" i="45"/>
  <c r="F127" i="45"/>
  <c r="F126" i="42"/>
  <c r="F126" i="56"/>
  <c r="F127" i="46"/>
  <c r="F127" i="56"/>
  <c r="F121" i="57"/>
  <c r="F122" i="57"/>
  <c r="F121" i="47"/>
  <c r="F126" i="54"/>
  <c r="F120" i="56"/>
  <c r="F120" i="48"/>
  <c r="F122" i="46"/>
  <c r="F127" i="57"/>
  <c r="F120" i="55"/>
  <c r="F125" i="48"/>
  <c r="F125" i="55"/>
  <c r="F121" i="54"/>
  <c r="F121" i="55"/>
  <c r="F121" i="56"/>
  <c r="F125" i="54"/>
  <c r="F121" i="46"/>
  <c r="F122" i="54"/>
  <c r="F126" i="48"/>
  <c r="F125" i="57"/>
  <c r="F126" i="55"/>
  <c r="F126" i="47"/>
  <c r="F127" i="48"/>
  <c r="F126" i="57"/>
  <c r="F122" i="47"/>
  <c r="F125" i="56"/>
  <c r="F126" i="46"/>
  <c r="F122" i="55"/>
  <c r="F125" i="47"/>
  <c r="F127" i="47"/>
  <c r="F121" i="48"/>
  <c r="F125" i="46"/>
  <c r="F120" i="54"/>
  <c r="F68" i="42"/>
  <c r="G61" i="42" s="1"/>
  <c r="G68" i="42" s="1"/>
  <c r="F68" i="46"/>
  <c r="G61" i="46" s="1"/>
  <c r="G68" i="46" s="1"/>
  <c r="F121" i="60"/>
  <c r="F120" i="60"/>
  <c r="F125" i="60"/>
  <c r="F127" i="60"/>
  <c r="F122" i="60"/>
  <c r="I14" i="10" l="1"/>
  <c r="G37" i="10"/>
  <c r="I37" i="10"/>
  <c r="H37" i="10"/>
  <c r="H35" i="10"/>
  <c r="I35" i="10"/>
  <c r="G35" i="10"/>
  <c r="I29" i="10"/>
  <c r="G29" i="10"/>
  <c r="H29" i="10"/>
  <c r="I34" i="10"/>
  <c r="G34" i="10"/>
  <c r="H34" i="10"/>
  <c r="H30" i="10"/>
  <c r="G30" i="10"/>
  <c r="I30" i="10"/>
  <c r="H33" i="10"/>
  <c r="I33" i="10"/>
  <c r="G33" i="10"/>
  <c r="H31" i="10"/>
  <c r="I31" i="10"/>
  <c r="G31" i="10"/>
  <c r="G36" i="10"/>
  <c r="I36" i="10"/>
  <c r="H36" i="10"/>
  <c r="F31" i="8"/>
  <c r="H14" i="10"/>
  <c r="E31" i="8"/>
  <c r="G14" i="10"/>
  <c r="H8" i="10"/>
  <c r="I8" i="10"/>
  <c r="G8" i="10"/>
  <c r="H10" i="10"/>
  <c r="I10" i="10"/>
  <c r="G10" i="10"/>
  <c r="H21" i="10"/>
  <c r="G21" i="10"/>
  <c r="I21" i="10"/>
  <c r="I11" i="10"/>
  <c r="H11" i="10"/>
  <c r="G11" i="10"/>
  <c r="I15" i="10"/>
  <c r="G15" i="10"/>
  <c r="H15" i="10"/>
  <c r="H18" i="10"/>
  <c r="I18" i="10"/>
  <c r="G18" i="10"/>
  <c r="I13" i="10"/>
  <c r="H13" i="10"/>
  <c r="G13" i="10"/>
  <c r="H19" i="10"/>
  <c r="I19" i="10"/>
  <c r="G19" i="10"/>
  <c r="G16" i="10"/>
  <c r="H16" i="10"/>
  <c r="I16" i="10"/>
  <c r="I9" i="10"/>
  <c r="H9" i="10"/>
  <c r="G9" i="10"/>
  <c r="H7" i="10"/>
  <c r="I7" i="10"/>
  <c r="G7" i="10"/>
  <c r="H17" i="10"/>
  <c r="I17" i="10"/>
  <c r="G17" i="10"/>
  <c r="I12" i="10"/>
  <c r="H12" i="10"/>
  <c r="G12" i="10"/>
  <c r="H20" i="10"/>
  <c r="I20" i="10"/>
  <c r="G20" i="10"/>
  <c r="G32" i="64"/>
  <c r="H32" i="64"/>
  <c r="G12" i="8"/>
  <c r="G31" i="8"/>
  <c r="E36" i="8"/>
  <c r="F36" i="8"/>
  <c r="E34" i="8"/>
  <c r="F34" i="8"/>
  <c r="E33" i="8"/>
  <c r="F33" i="8"/>
  <c r="E37" i="8"/>
  <c r="F37" i="8"/>
  <c r="E35" i="8"/>
  <c r="F35" i="8"/>
  <c r="E32" i="8"/>
  <c r="F32" i="8"/>
  <c r="E27" i="8"/>
  <c r="F27" i="8"/>
  <c r="E26" i="8"/>
  <c r="F26" i="8"/>
  <c r="E24" i="8"/>
  <c r="F24" i="8"/>
  <c r="E29" i="8"/>
  <c r="F29" i="8"/>
  <c r="E25" i="8"/>
  <c r="F25" i="8"/>
  <c r="E28" i="8"/>
  <c r="F28" i="8"/>
  <c r="E30" i="8"/>
  <c r="F30" i="8"/>
  <c r="G16" i="8"/>
  <c r="E16" i="8"/>
  <c r="D7" i="8"/>
  <c r="F7" i="8" s="1"/>
  <c r="D6" i="8"/>
  <c r="F6" i="8" s="1"/>
  <c r="D5" i="8"/>
  <c r="F5" i="8" s="1"/>
  <c r="D11" i="8"/>
  <c r="F11" i="8" s="1"/>
  <c r="D19" i="8"/>
  <c r="F19" i="8" s="1"/>
  <c r="D15" i="8"/>
  <c r="F15" i="8" s="1"/>
  <c r="D14" i="8"/>
  <c r="F14" i="8" s="1"/>
  <c r="D13" i="8"/>
  <c r="F13" i="8" s="1"/>
  <c r="D10" i="8"/>
  <c r="F10" i="8" s="1"/>
  <c r="D9" i="8"/>
  <c r="F9" i="8" s="1"/>
  <c r="D17" i="8"/>
  <c r="F17" i="8" s="1"/>
  <c r="D18" i="8"/>
  <c r="F18" i="8" s="1"/>
  <c r="D8" i="8"/>
  <c r="F8" i="8" s="1"/>
  <c r="G38" i="63"/>
  <c r="F38" i="63"/>
  <c r="F12" i="8"/>
  <c r="E12" i="8"/>
  <c r="H27" i="64"/>
  <c r="G27" i="64"/>
  <c r="H28" i="64"/>
  <c r="G28" i="64"/>
  <c r="G37" i="64"/>
  <c r="H37" i="64"/>
  <c r="G36" i="64"/>
  <c r="H36" i="64"/>
  <c r="G35" i="64"/>
  <c r="H35" i="64"/>
  <c r="G34" i="64"/>
  <c r="H34" i="64"/>
  <c r="G33" i="64"/>
  <c r="H33" i="64"/>
  <c r="G30" i="64"/>
  <c r="H30" i="64"/>
  <c r="G29" i="64"/>
  <c r="H29" i="64"/>
  <c r="G31" i="64"/>
  <c r="H31" i="64"/>
  <c r="F122" i="53"/>
  <c r="D68" i="54"/>
  <c r="E61" i="54" s="1"/>
  <c r="E68" i="54" s="1"/>
  <c r="F61" i="54" s="1"/>
  <c r="F68" i="54" s="1"/>
  <c r="G61" i="54" s="1"/>
  <c r="G68" i="54" s="1"/>
  <c r="F90" i="53"/>
  <c r="F127" i="53"/>
  <c r="F121" i="61"/>
  <c r="F123" i="61"/>
  <c r="F126" i="61"/>
  <c r="F122" i="61"/>
  <c r="F127" i="61"/>
  <c r="G18" i="64"/>
  <c r="I18" i="64"/>
  <c r="G19" i="64"/>
  <c r="I19" i="64"/>
  <c r="G16" i="64"/>
  <c r="I16" i="64"/>
  <c r="G20" i="64"/>
  <c r="I20" i="64"/>
  <c r="G17" i="64"/>
  <c r="I17" i="64"/>
  <c r="G21" i="64"/>
  <c r="I21" i="64"/>
  <c r="G15" i="64"/>
  <c r="I15" i="64"/>
  <c r="G9" i="64"/>
  <c r="G10" i="64"/>
  <c r="G7" i="64"/>
  <c r="G11" i="64"/>
  <c r="G8" i="64"/>
  <c r="G12" i="64"/>
  <c r="G13" i="64"/>
  <c r="G31" i="63"/>
  <c r="I14" i="64"/>
  <c r="H18" i="64"/>
  <c r="H17" i="64"/>
  <c r="H21" i="64"/>
  <c r="H20" i="64"/>
  <c r="H19" i="64"/>
  <c r="H16" i="64"/>
  <c r="H15" i="64"/>
  <c r="H12" i="64"/>
  <c r="H11" i="64"/>
  <c r="H7" i="64"/>
  <c r="H10" i="64"/>
  <c r="H9" i="64"/>
  <c r="H8" i="64"/>
  <c r="H13" i="64"/>
  <c r="F31" i="63"/>
  <c r="H14" i="64"/>
  <c r="E31" i="63"/>
  <c r="G14" i="64"/>
  <c r="E33" i="63"/>
  <c r="F33" i="63"/>
  <c r="E37" i="63"/>
  <c r="F37" i="63"/>
  <c r="E36" i="63"/>
  <c r="F36" i="63"/>
  <c r="E35" i="63"/>
  <c r="F35" i="63"/>
  <c r="E34" i="63"/>
  <c r="F34" i="63"/>
  <c r="E32" i="63"/>
  <c r="F32" i="63"/>
  <c r="E25" i="63"/>
  <c r="F25" i="63"/>
  <c r="E28" i="63"/>
  <c r="F28" i="63"/>
  <c r="E29" i="63"/>
  <c r="F29" i="63"/>
  <c r="E24" i="63"/>
  <c r="F24" i="63"/>
  <c r="E27" i="63"/>
  <c r="F27" i="63"/>
  <c r="E26" i="63"/>
  <c r="F26" i="63"/>
  <c r="E30" i="63"/>
  <c r="F30" i="63"/>
  <c r="G12" i="63"/>
  <c r="D13" i="63"/>
  <c r="G13" i="63" s="1"/>
  <c r="D14" i="63"/>
  <c r="G14" i="63" s="1"/>
  <c r="D15" i="63"/>
  <c r="G15" i="63" s="1"/>
  <c r="D16" i="63"/>
  <c r="G16" i="63" s="1"/>
  <c r="D17" i="63"/>
  <c r="G17" i="63" s="1"/>
  <c r="D18" i="63"/>
  <c r="G18" i="63" s="1"/>
  <c r="D19" i="63"/>
  <c r="G19" i="63" s="1"/>
  <c r="D11" i="63"/>
  <c r="D5" i="63"/>
  <c r="G5" i="63" s="1"/>
  <c r="D6" i="63"/>
  <c r="G6" i="63" s="1"/>
  <c r="D7" i="63"/>
  <c r="G7" i="63" s="1"/>
  <c r="D8" i="63"/>
  <c r="G8" i="63" s="1"/>
  <c r="D9" i="63"/>
  <c r="G9" i="63" s="1"/>
  <c r="D10" i="63"/>
  <c r="G10" i="63" s="1"/>
  <c r="F12" i="63"/>
  <c r="E12" i="63"/>
  <c r="G15" i="8" l="1"/>
  <c r="E15" i="8"/>
  <c r="G19" i="8"/>
  <c r="E19" i="8"/>
  <c r="G18" i="8"/>
  <c r="E18" i="8"/>
  <c r="G17" i="8"/>
  <c r="E17" i="8"/>
  <c r="G14" i="8"/>
  <c r="E14" i="8"/>
  <c r="G13" i="8"/>
  <c r="E13" i="8"/>
  <c r="G6" i="8"/>
  <c r="E6" i="8"/>
  <c r="G9" i="8"/>
  <c r="E9" i="8"/>
  <c r="G10" i="8"/>
  <c r="E10" i="8"/>
  <c r="G7" i="8"/>
  <c r="E7" i="8"/>
  <c r="G8" i="8"/>
  <c r="E8" i="8"/>
  <c r="G5" i="8"/>
  <c r="E5" i="8"/>
  <c r="G11" i="8"/>
  <c r="E11" i="8"/>
  <c r="F120" i="53"/>
  <c r="E62" i="53"/>
  <c r="E67" i="53" s="1"/>
  <c r="G62" i="53"/>
  <c r="G67" i="53" s="1"/>
  <c r="F62" i="53"/>
  <c r="F67" i="53" s="1"/>
  <c r="D62" i="53"/>
  <c r="D67" i="53" s="1"/>
  <c r="F125" i="53"/>
  <c r="C62" i="53"/>
  <c r="C67" i="53" s="1"/>
  <c r="C68" i="53" s="1"/>
  <c r="D61" i="53" s="1"/>
  <c r="F11" i="63"/>
  <c r="G11" i="63"/>
  <c r="E16" i="63"/>
  <c r="F16" i="63"/>
  <c r="E15" i="63"/>
  <c r="F15" i="63"/>
  <c r="E19" i="63"/>
  <c r="F19" i="63"/>
  <c r="E18" i="63"/>
  <c r="F18" i="63"/>
  <c r="E17" i="63"/>
  <c r="F17" i="63"/>
  <c r="E14" i="63"/>
  <c r="F14" i="63"/>
  <c r="E13" i="63"/>
  <c r="F13" i="63"/>
  <c r="E9" i="63"/>
  <c r="F9" i="63"/>
  <c r="E8" i="63"/>
  <c r="F8" i="63"/>
  <c r="E7" i="63"/>
  <c r="F7" i="63"/>
  <c r="E6" i="63"/>
  <c r="F6" i="63"/>
  <c r="E5" i="63"/>
  <c r="F5" i="63"/>
  <c r="E10" i="63"/>
  <c r="F10" i="63"/>
  <c r="E11" i="63"/>
  <c r="D68" i="53" l="1"/>
  <c r="E61" i="53" s="1"/>
  <c r="E68" i="53" s="1"/>
  <c r="F61" i="53" s="1"/>
  <c r="F68" i="53" s="1"/>
  <c r="G61" i="53" s="1"/>
  <c r="G68" i="53" s="1"/>
</calcChain>
</file>

<file path=xl/sharedStrings.xml><?xml version="1.0" encoding="utf-8"?>
<sst xmlns="http://schemas.openxmlformats.org/spreadsheetml/2006/main" count="2791" uniqueCount="166">
  <si>
    <t>Capital Item</t>
  </si>
  <si>
    <t>Unit Cost</t>
  </si>
  <si>
    <t>Years of Life</t>
  </si>
  <si>
    <t>Year 1</t>
  </si>
  <si>
    <t>Year 2</t>
  </si>
  <si>
    <t>Year 3</t>
  </si>
  <si>
    <t>Year 4</t>
  </si>
  <si>
    <t>Year 5</t>
  </si>
  <si>
    <t>Nursery Bag</t>
  </si>
  <si>
    <t>Growout Bag</t>
  </si>
  <si>
    <t>Wet Suit</t>
  </si>
  <si>
    <t>Boat</t>
  </si>
  <si>
    <t>Investment and Capital Asset Requirements</t>
  </si>
  <si>
    <t>Cost Item</t>
  </si>
  <si>
    <t>Variable Costs</t>
  </si>
  <si>
    <t>Seed</t>
  </si>
  <si>
    <t xml:space="preserve">Boat Fuel </t>
  </si>
  <si>
    <t>Truck Fuel</t>
  </si>
  <si>
    <t>Work Gloves/Booties</t>
  </si>
  <si>
    <t>Overhead</t>
  </si>
  <si>
    <t xml:space="preserve">Bookkeeping </t>
  </si>
  <si>
    <t xml:space="preserve">Licenses </t>
  </si>
  <si>
    <t xml:space="preserve">Total Costs </t>
  </si>
  <si>
    <t>Beginning Cash</t>
  </si>
  <si>
    <t>Cash Receipts</t>
  </si>
  <si>
    <t>Cash Outflow</t>
  </si>
  <si>
    <t xml:space="preserve">Annual Cash Position </t>
  </si>
  <si>
    <t xml:space="preserve">Ending Cash Position </t>
  </si>
  <si>
    <t>Total Outflow</t>
  </si>
  <si>
    <t>Item</t>
  </si>
  <si>
    <t>Units</t>
  </si>
  <si>
    <t>Price/Unit</t>
  </si>
  <si>
    <t>Total Value/Cost</t>
  </si>
  <si>
    <t>Revenues</t>
  </si>
  <si>
    <t>1" clams</t>
  </si>
  <si>
    <t>7/8" clams</t>
  </si>
  <si>
    <t>pasta</t>
  </si>
  <si>
    <t>Total Variable Costs</t>
  </si>
  <si>
    <t xml:space="preserve">Fixed Costs </t>
  </si>
  <si>
    <t>Capital Replacement</t>
  </si>
  <si>
    <t xml:space="preserve">Depreciation </t>
  </si>
  <si>
    <t>Total Fixed Costs</t>
  </si>
  <si>
    <t>Net Returns</t>
  </si>
  <si>
    <t>Cost per Clam</t>
  </si>
  <si>
    <t xml:space="preserve">Break-even Survival </t>
  </si>
  <si>
    <t xml:space="preserve">Total Investment </t>
  </si>
  <si>
    <t xml:space="preserve">Seed Price </t>
  </si>
  <si>
    <t>Market Price</t>
  </si>
  <si>
    <t xml:space="preserve">Boat/Truck Insurance </t>
  </si>
  <si>
    <t xml:space="preserve">Crop Insurance </t>
  </si>
  <si>
    <t xml:space="preserve">Assumption </t>
  </si>
  <si>
    <t xml:space="preserve">Production Item </t>
  </si>
  <si>
    <t>Size Distribution as Percentage of entire catch</t>
  </si>
  <si>
    <t xml:space="preserve">Financial Item </t>
  </si>
  <si>
    <t>Assumption</t>
  </si>
  <si>
    <t>Growout Stocking Density (clams per bag)</t>
  </si>
  <si>
    <t>Survival Rates</t>
  </si>
  <si>
    <t xml:space="preserve">    Nursery </t>
  </si>
  <si>
    <t xml:space="preserve">    Grow-out</t>
  </si>
  <si>
    <t xml:space="preserve">    Overall </t>
  </si>
  <si>
    <t>Nursery Stocking Density (clams per bag)</t>
  </si>
  <si>
    <t xml:space="preserve">    1" </t>
  </si>
  <si>
    <t xml:space="preserve">    7/8"</t>
  </si>
  <si>
    <t xml:space="preserve">    pasta</t>
  </si>
  <si>
    <t xml:space="preserve">    Production Costs</t>
  </si>
  <si>
    <t xml:space="preserve">    New Capital</t>
  </si>
  <si>
    <t xml:space="preserve">Miscellaneous </t>
  </si>
  <si>
    <t xml:space="preserve">    1"</t>
  </si>
  <si>
    <t>Overhead Costs</t>
  </si>
  <si>
    <t>Truck</t>
  </si>
  <si>
    <t>Motor</t>
  </si>
  <si>
    <t>Winch/Davit/Boom/Pulley/Batteries</t>
  </si>
  <si>
    <t># Purchased In Year 1</t>
  </si>
  <si>
    <t>Total Seed Planted</t>
  </si>
  <si>
    <t xml:space="preserve">Budget for an Existing Florida Hard Clam Culture Operation </t>
  </si>
  <si>
    <t>Average Annual Budget</t>
  </si>
  <si>
    <t>Annual Cash Flows</t>
  </si>
  <si>
    <t>Equipment Maintenance</t>
  </si>
  <si>
    <t xml:space="preserve">Bag Maintenance </t>
  </si>
  <si>
    <t>Total Revenues</t>
  </si>
  <si>
    <t xml:space="preserve">Misc. Equipment </t>
  </si>
  <si>
    <t>Bookkeeping</t>
  </si>
  <si>
    <t>Seed clams</t>
  </si>
  <si>
    <t>Cover netting, stakes, etc.</t>
  </si>
  <si>
    <t>Boat fuel</t>
  </si>
  <si>
    <t>Truck fuel</t>
  </si>
  <si>
    <t xml:space="preserve">Bag maintenance </t>
  </si>
  <si>
    <t>Work gloves/booties</t>
  </si>
  <si>
    <t># of Clams Harvested</t>
  </si>
  <si>
    <t>Total Costs</t>
  </si>
  <si>
    <t xml:space="preserve">Survival Rate </t>
  </si>
  <si>
    <t>Seed Price</t>
  </si>
  <si>
    <t>Overall Survival Rate</t>
  </si>
  <si>
    <t>Market Prices</t>
  </si>
  <si>
    <t>1"</t>
  </si>
  <si>
    <t>7/8"</t>
  </si>
  <si>
    <t>Pasta</t>
  </si>
  <si>
    <t>Size Distribution</t>
  </si>
  <si>
    <t xml:space="preserve">Size Distribution </t>
  </si>
  <si>
    <r>
      <t xml:space="preserve">     </t>
    </r>
    <r>
      <rPr>
        <i/>
        <sz val="11"/>
        <color indexed="8"/>
        <rFont val="Calibri"/>
        <family val="2"/>
      </rPr>
      <t>Growout</t>
    </r>
    <r>
      <rPr>
        <sz val="11"/>
        <color indexed="8"/>
        <rFont val="Calibri"/>
        <family val="2"/>
      </rPr>
      <t xml:space="preserve"> </t>
    </r>
  </si>
  <si>
    <t xml:space="preserve">Number of Bags Required </t>
  </si>
  <si>
    <t xml:space="preserve">Lease Fee </t>
  </si>
  <si>
    <t>Contract services/Wages</t>
  </si>
  <si>
    <t>Total Revenue</t>
  </si>
  <si>
    <t>Units/Year</t>
  </si>
  <si>
    <t>Cover Netting, stakes, cable ties</t>
  </si>
  <si>
    <t xml:space="preserve">Truck, boat, motor, trailer maintenance </t>
  </si>
  <si>
    <t>Price per Unit               or Cost</t>
  </si>
  <si>
    <t>Contract Services/Wages</t>
  </si>
  <si>
    <t>Lease Fee</t>
  </si>
  <si>
    <t>Licenses</t>
  </si>
  <si>
    <t>Boat/Truck Insurance</t>
  </si>
  <si>
    <t>Crop Insurance</t>
  </si>
  <si>
    <t>Please Answer the Following Questions</t>
  </si>
  <si>
    <t>Annual Replacement</t>
  </si>
  <si>
    <t>Depreciation (Non-Cash Expenses)</t>
  </si>
  <si>
    <t>Net Returns to Cash Costs</t>
  </si>
  <si>
    <t xml:space="preserve">Cash Cost per Clam </t>
  </si>
  <si>
    <t>Breakeven Survival (Cash Costs)</t>
  </si>
  <si>
    <t>Summary</t>
  </si>
  <si>
    <t>Cash Costs</t>
  </si>
  <si>
    <t>Cash Cost per Clam</t>
  </si>
  <si>
    <t>Net Returns to Cash</t>
  </si>
  <si>
    <t>Sensitivity Analysis: Cash Costs (Depreciation Costs Excluded)</t>
  </si>
  <si>
    <t xml:space="preserve">Overall Survival Rate </t>
  </si>
  <si>
    <t>Sensitivity Analysis: Cash Costs (Depreciation Excluded)</t>
  </si>
  <si>
    <t>Total Cash Costs</t>
  </si>
  <si>
    <t>Question</t>
  </si>
  <si>
    <t>Response</t>
  </si>
  <si>
    <r>
      <t>Equipment Maintenance</t>
    </r>
    <r>
      <rPr>
        <vertAlign val="superscript"/>
        <sz val="11"/>
        <color indexed="8"/>
        <rFont val="Calibri"/>
        <family val="2"/>
      </rPr>
      <t>1</t>
    </r>
  </si>
  <si>
    <t xml:space="preserve">Break-Even Survival </t>
  </si>
  <si>
    <t xml:space="preserve">Break-Even Overall Survival </t>
  </si>
  <si>
    <t>Break-Even Overall Survival</t>
  </si>
  <si>
    <t>Break-Even Overall  Survival</t>
  </si>
  <si>
    <t>Break-Even Survival (Cash Costs)</t>
  </si>
  <si>
    <t>Survival Rates (%)</t>
  </si>
  <si>
    <t>Harvest Size Distribution (%)</t>
  </si>
  <si>
    <t xml:space="preserve">    Pasta</t>
  </si>
  <si>
    <t>Cover Net, Net Coating, Stakes, Cable Ties</t>
  </si>
  <si>
    <t>Please enter the current year (yyyy)</t>
  </si>
  <si>
    <t>In what year do you plan to purchase a new boat? If you do not know, enter a question mark  into the box (no reinvestment in planning period).</t>
  </si>
  <si>
    <t>In what year do you plan to purchase a new boat motor? If you do not know, enter a question mark  into the box (no reinvestment in planning period).</t>
  </si>
  <si>
    <t>In what year do you plan to purchase a new truck? If you do not know, enter a question mark  into the box (no reinvestment in planning period).</t>
  </si>
  <si>
    <t>Nursery Seed Density (# clams per bag)</t>
  </si>
  <si>
    <t>Growout Seed Density (# clams per bag)</t>
  </si>
  <si>
    <t>User may enter firm specific data into orange cells, otherwise default information will be utilized</t>
  </si>
  <si>
    <t>Annual Depreciation (Non-Cash Expenses)</t>
  </si>
  <si>
    <t>Enter the year that you purchased your current boat.  If you do not own a boat, enter 0.</t>
  </si>
  <si>
    <t>Enter the year that you purchased your current boat motor.  If you do not own a boat motor, enter 0.</t>
  </si>
  <si>
    <t>Enter the year that you purchased your current truck.   If you do not own a truck, enter 0.</t>
  </si>
  <si>
    <t>Sensitivity Analysis: Total Costs (Depreciation Included)</t>
  </si>
  <si>
    <t>Sensitivity Analysis (Depreciation Included)</t>
  </si>
  <si>
    <t>Annual Replacement Cost</t>
  </si>
  <si>
    <t>Survival rate</t>
  </si>
  <si>
    <t>Contract Services and Wages</t>
  </si>
  <si>
    <t>Winch,Davit,Boom,Pulley, Batteries</t>
  </si>
  <si>
    <t>Estimated             Years of Life</t>
  </si>
  <si>
    <t>Expected Next Purchase</t>
  </si>
  <si>
    <t>List Items</t>
  </si>
  <si>
    <t>Wet Suits</t>
  </si>
  <si>
    <t xml:space="preserve">Break-Even Survival (Cash Costs) </t>
  </si>
  <si>
    <t>Total (Must equal 100%)</t>
  </si>
  <si>
    <t>*Please enter only a 4 digit year (yyyy) or 0.</t>
  </si>
  <si>
    <t>*Please enter only a 4 digit year (yyyy) or ?.</t>
  </si>
  <si>
    <t>*Please enter only a 4 digit year (yyyy).</t>
  </si>
  <si>
    <t>2029 or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</si>
</sst>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409]* #,##0.00_);_([$$-409]* \(#,##0.00\);_([$$-409]* &quot;-&quot;??_);_(@_)"/>
    <numFmt numFmtId="165" formatCode="&quot;$&quot;#,##0.00"/>
    <numFmt numFmtId="166" formatCode="_(&quot;$&quot;* #,##0.000_);_(&quot;$&quot;* \(#,##0.000\);_(&quot;$&quot;* &quot;-&quot;???_);_(@_)"/>
    <numFmt numFmtId="167" formatCode="_([$$-409]* #,##0.000_);_([$$-409]* \(#,##0.000\);_([$$-409]* &quot;-&quot;???_);_(@_)"/>
    <numFmt numFmtId="168" formatCode="_(&quot;$&quot;* #,##0_);_(&quot;$&quot;* \(#,##0\);_(&quot;$&quot;* &quot;-&quot;??_);_(@_)"/>
    <numFmt numFmtId="169" formatCode="_([$$-409]* #,##0_);_([$$-409]* \(#,##0\);_([$$-409]* &quot;-&quot;_);_(@_)"/>
    <numFmt numFmtId="170" formatCode="_(* #,##0_);_(* \(#,##0\);_(* &quot;-&quot;??_);_(@_)"/>
    <numFmt numFmtId="171" formatCode="_(&quot;$&quot;* #,##0.000_);_(&quot;$&quot;* \(#,##0.000\);_(&quot;$&quot;* &quot;-&quot;??_);_(@_)"/>
    <numFmt numFmtId="172" formatCode="_(&quot;$&quot;* #,##0.0000_);_(&quot;$&quot;* \(#,##0.0000\);_(&quot;$&quot;* &quot;-&quot;????_);_(@_)"/>
    <numFmt numFmtId="173" formatCode="_(&quot;$&quot;* #,##0_);_(&quot;$&quot;* \(#,##0\);_(&quot;$&quot;* &quot;-&quot;???_);_(@_)"/>
    <numFmt numFmtId="174" formatCode="_(&quot;$&quot;* #,##0_);_(&quot;$&quot;* \(#,##0\);_(&quot;$&quot;* &quot;0&quot;_);_(@_)"/>
    <numFmt numFmtId="175" formatCode="_([$$-409]* #,##0.00_);_([$$-409]* \(#,##0.00\);_([$$-409]* &quot;-&quot;???_);_(@_)"/>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Calibri"/>
      <family val="2"/>
    </font>
    <font>
      <i/>
      <sz val="11"/>
      <color indexed="8"/>
      <name val="Calibri"/>
      <family val="2"/>
    </font>
    <font>
      <vertAlign val="superscript"/>
      <sz val="11"/>
      <color indexed="8"/>
      <name val="Calibri"/>
      <family val="2"/>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i/>
      <sz val="11"/>
      <color theme="1"/>
      <name val="Calibri"/>
      <family val="2"/>
      <scheme val="minor"/>
    </font>
    <font>
      <b/>
      <u/>
      <sz val="14"/>
      <color theme="1"/>
      <name val="Calibri"/>
      <family val="2"/>
      <scheme val="minor"/>
    </font>
    <font>
      <b/>
      <sz val="14"/>
      <color theme="1"/>
      <name val="Calibri"/>
      <family val="2"/>
      <scheme val="minor"/>
    </font>
    <font>
      <b/>
      <u/>
      <sz val="18"/>
      <color theme="1"/>
      <name val="Calibri"/>
      <family val="2"/>
      <scheme val="minor"/>
    </font>
    <font>
      <sz val="12"/>
      <color rgb="FF000000"/>
      <name val="Calibri"/>
      <family val="2"/>
      <scheme val="minor"/>
    </font>
    <font>
      <b/>
      <sz val="11"/>
      <color rgb="FF000000"/>
      <name val="Calibri"/>
      <family val="2"/>
      <scheme val="minor"/>
    </font>
    <font>
      <sz val="11"/>
      <color rgb="FF000000"/>
      <name val="Calibri"/>
      <family val="2"/>
      <scheme val="minor"/>
    </font>
    <font>
      <b/>
      <u/>
      <sz val="11"/>
      <color rgb="FF000000"/>
      <name val="Calibri"/>
      <family val="2"/>
      <scheme val="minor"/>
    </font>
    <font>
      <sz val="11"/>
      <name val="Calibri"/>
      <family val="2"/>
      <scheme val="minor"/>
    </font>
    <font>
      <sz val="12"/>
      <color theme="1"/>
      <name val="Calibri"/>
      <family val="2"/>
    </font>
    <font>
      <i/>
      <sz val="12"/>
      <color theme="1"/>
      <name val="Calibri"/>
      <family val="2"/>
    </font>
    <font>
      <sz val="20"/>
      <color theme="1"/>
      <name val="Calibri"/>
      <family val="2"/>
      <scheme val="minor"/>
    </font>
    <font>
      <b/>
      <u val="singleAccounting"/>
      <sz val="14"/>
      <color theme="1"/>
      <name val="Calibri"/>
      <family val="2"/>
      <scheme val="minor"/>
    </font>
    <font>
      <b/>
      <u/>
      <sz val="16"/>
      <color theme="1"/>
      <name val="Calibri"/>
      <family val="2"/>
      <scheme val="minor"/>
    </font>
    <font>
      <b/>
      <u/>
      <sz val="16"/>
      <color rgb="FF000000"/>
      <name val="Calibri"/>
      <family val="2"/>
      <scheme val="minor"/>
    </font>
    <font>
      <b/>
      <sz val="14"/>
      <color rgb="FF000000"/>
      <name val="Calibri"/>
      <family val="2"/>
      <scheme val="minor"/>
    </font>
    <font>
      <b/>
      <sz val="11"/>
      <name val="Calibri"/>
      <family val="2"/>
      <scheme val="minor"/>
    </font>
    <font>
      <b/>
      <sz val="11"/>
      <color theme="9" tint="-0.499984740745262"/>
      <name val="Calibri"/>
      <family val="2"/>
      <scheme val="minor"/>
    </font>
    <font>
      <b/>
      <sz val="11"/>
      <color rgb="FFFF0000"/>
      <name val="Calibri"/>
      <family val="2"/>
      <scheme val="minor"/>
    </font>
    <font>
      <sz val="12"/>
      <color rgb="FFFF0000"/>
      <name val="Calibri"/>
      <family val="2"/>
      <scheme val="minor"/>
    </font>
  </fonts>
  <fills count="8">
    <fill>
      <patternFill patternType="none"/>
    </fill>
    <fill>
      <patternFill patternType="gray125"/>
    </fill>
    <fill>
      <patternFill patternType="lightUp">
        <fgColor theme="0" tint="-0.14999847407452621"/>
        <bgColor theme="9" tint="0.39997558519241921"/>
      </patternFill>
    </fill>
    <fill>
      <patternFill patternType="solid">
        <fgColor indexed="65"/>
        <bgColor theme="0" tint="-0.14999847407452621"/>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348">
    <xf numFmtId="0" fontId="0" fillId="0" borderId="0" xfId="0"/>
    <xf numFmtId="0" fontId="10" fillId="0" borderId="0" xfId="0" applyFont="1"/>
    <xf numFmtId="9" fontId="10" fillId="0" borderId="0" xfId="0" applyNumberFormat="1" applyFont="1"/>
    <xf numFmtId="0" fontId="11" fillId="0" borderId="0" xfId="0" applyFont="1"/>
    <xf numFmtId="164" fontId="10" fillId="0" borderId="0" xfId="0" applyNumberFormat="1" applyFont="1"/>
    <xf numFmtId="165" fontId="10" fillId="0" borderId="0" xfId="0" applyNumberFormat="1" applyFont="1"/>
    <xf numFmtId="0" fontId="10" fillId="0" borderId="1" xfId="0" applyFont="1" applyBorder="1"/>
    <xf numFmtId="168" fontId="10" fillId="0" borderId="0" xfId="0" applyNumberFormat="1" applyFont="1"/>
    <xf numFmtId="0" fontId="11" fillId="0" borderId="0" xfId="0" applyFont="1" applyAlignment="1">
      <alignment horizontal="center"/>
    </xf>
    <xf numFmtId="168" fontId="10" fillId="0" borderId="1" xfId="0" applyNumberFormat="1" applyFont="1" applyBorder="1"/>
    <xf numFmtId="9" fontId="10" fillId="0" borderId="0" xfId="3" applyFont="1"/>
    <xf numFmtId="42" fontId="10" fillId="0" borderId="0" xfId="0" applyNumberFormat="1" applyFont="1"/>
    <xf numFmtId="0" fontId="10" fillId="0" borderId="2" xfId="0" applyFont="1" applyBorder="1"/>
    <xf numFmtId="0" fontId="12" fillId="0" borderId="0" xfId="0" applyFont="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2" fillId="0" borderId="5" xfId="0" applyFont="1" applyBorder="1"/>
    <xf numFmtId="164" fontId="10" fillId="0" borderId="6" xfId="0" applyNumberFormat="1" applyFont="1" applyBorder="1"/>
    <xf numFmtId="0" fontId="10" fillId="0" borderId="5" xfId="0" applyFont="1" applyBorder="1"/>
    <xf numFmtId="0" fontId="11" fillId="0" borderId="7" xfId="0" applyFont="1" applyBorder="1"/>
    <xf numFmtId="42" fontId="10" fillId="0" borderId="2" xfId="0" applyNumberFormat="1" applyFont="1" applyBorder="1"/>
    <xf numFmtId="0" fontId="10" fillId="0" borderId="8" xfId="0" applyFont="1" applyBorder="1"/>
    <xf numFmtId="42" fontId="10" fillId="0" borderId="8" xfId="0" applyNumberFormat="1" applyFont="1" applyBorder="1"/>
    <xf numFmtId="0" fontId="10" fillId="0" borderId="9" xfId="0" applyFont="1" applyBorder="1"/>
    <xf numFmtId="42" fontId="10" fillId="0" borderId="9" xfId="0" applyNumberFormat="1" applyFont="1" applyBorder="1"/>
    <xf numFmtId="168" fontId="10" fillId="0" borderId="2" xfId="0" applyNumberFormat="1" applyFont="1" applyBorder="1"/>
    <xf numFmtId="168" fontId="10" fillId="0" borderId="8" xfId="0" applyNumberFormat="1" applyFont="1" applyBorder="1"/>
    <xf numFmtId="0" fontId="13" fillId="0" borderId="0" xfId="0" applyFont="1"/>
    <xf numFmtId="164" fontId="10" fillId="0" borderId="1" xfId="0" applyNumberFormat="1" applyFont="1" applyBorder="1"/>
    <xf numFmtId="0" fontId="11" fillId="0" borderId="7" xfId="0" applyFont="1" applyBorder="1" applyAlignment="1">
      <alignment horizontal="center"/>
    </xf>
    <xf numFmtId="164" fontId="11" fillId="0" borderId="7" xfId="0" applyNumberFormat="1" applyFont="1" applyBorder="1" applyAlignment="1">
      <alignment horizontal="center"/>
    </xf>
    <xf numFmtId="168" fontId="10" fillId="0" borderId="10" xfId="0" applyNumberFormat="1" applyFont="1" applyBorder="1"/>
    <xf numFmtId="168" fontId="10" fillId="0" borderId="11" xfId="0" applyNumberFormat="1" applyFont="1" applyBorder="1"/>
    <xf numFmtId="0" fontId="10" fillId="0" borderId="7" xfId="0" applyFont="1" applyBorder="1"/>
    <xf numFmtId="169" fontId="10" fillId="0" borderId="2" xfId="0" applyNumberFormat="1" applyFont="1" applyBorder="1"/>
    <xf numFmtId="169" fontId="10" fillId="0" borderId="8" xfId="0" applyNumberFormat="1" applyFont="1" applyBorder="1"/>
    <xf numFmtId="169" fontId="10" fillId="0" borderId="0" xfId="0" applyNumberFormat="1" applyFont="1"/>
    <xf numFmtId="0" fontId="14" fillId="0" borderId="1" xfId="0" applyFont="1" applyBorder="1"/>
    <xf numFmtId="0" fontId="14" fillId="0" borderId="12" xfId="0" applyFont="1" applyBorder="1"/>
    <xf numFmtId="0" fontId="12" fillId="0" borderId="13" xfId="0" applyFont="1" applyBorder="1"/>
    <xf numFmtId="164" fontId="10" fillId="2" borderId="14" xfId="0" applyNumberFormat="1" applyFont="1" applyFill="1" applyBorder="1" applyProtection="1">
      <protection locked="0"/>
    </xf>
    <xf numFmtId="167" fontId="10" fillId="2" borderId="15" xfId="0" applyNumberFormat="1" applyFont="1" applyFill="1" applyBorder="1" applyProtection="1">
      <protection locked="0"/>
    </xf>
    <xf numFmtId="0" fontId="10" fillId="2" borderId="2" xfId="0" applyFont="1" applyFill="1" applyBorder="1" applyProtection="1">
      <protection locked="0"/>
    </xf>
    <xf numFmtId="0" fontId="10" fillId="2" borderId="9" xfId="0" applyFont="1" applyFill="1" applyBorder="1" applyProtection="1">
      <protection locked="0"/>
    </xf>
    <xf numFmtId="0" fontId="15" fillId="0" borderId="0" xfId="0" applyFont="1" applyAlignment="1">
      <alignment horizontal="center"/>
    </xf>
    <xf numFmtId="41" fontId="10" fillId="0" borderId="0" xfId="1" applyNumberFormat="1" applyFont="1" applyBorder="1"/>
    <xf numFmtId="44" fontId="10" fillId="0" borderId="0" xfId="0" applyNumberFormat="1" applyFont="1"/>
    <xf numFmtId="166" fontId="10" fillId="0" borderId="0" xfId="0" applyNumberFormat="1" applyFont="1"/>
    <xf numFmtId="168" fontId="11" fillId="0" borderId="0" xfId="0" applyNumberFormat="1" applyFont="1"/>
    <xf numFmtId="167" fontId="10" fillId="0" borderId="0" xfId="0" applyNumberFormat="1" applyFont="1"/>
    <xf numFmtId="9" fontId="10" fillId="0" borderId="0" xfId="3" applyFont="1" applyBorder="1"/>
    <xf numFmtId="3" fontId="10" fillId="2" borderId="16" xfId="0" applyNumberFormat="1" applyFont="1" applyFill="1" applyBorder="1" applyProtection="1">
      <protection locked="0"/>
    </xf>
    <xf numFmtId="170" fontId="10" fillId="2" borderId="14" xfId="1" applyNumberFormat="1" applyFont="1" applyFill="1" applyBorder="1" applyProtection="1">
      <protection locked="0"/>
    </xf>
    <xf numFmtId="9" fontId="10" fillId="0" borderId="14" xfId="0" applyNumberFormat="1" applyFont="1" applyBorder="1"/>
    <xf numFmtId="9" fontId="10" fillId="2" borderId="14" xfId="0" applyNumberFormat="1" applyFont="1" applyFill="1" applyBorder="1" applyProtection="1">
      <protection locked="0"/>
    </xf>
    <xf numFmtId="167" fontId="10" fillId="2" borderId="14" xfId="0" applyNumberFormat="1" applyFont="1" applyFill="1" applyBorder="1" applyProtection="1">
      <protection locked="0"/>
    </xf>
    <xf numFmtId="164" fontId="10" fillId="0" borderId="7" xfId="0" applyNumberFormat="1" applyFont="1" applyBorder="1"/>
    <xf numFmtId="44" fontId="10" fillId="2" borderId="2" xfId="0" applyNumberFormat="1" applyFont="1" applyFill="1" applyBorder="1" applyProtection="1">
      <protection locked="0"/>
    </xf>
    <xf numFmtId="44" fontId="10" fillId="2" borderId="8" xfId="0" applyNumberFormat="1" applyFont="1" applyFill="1" applyBorder="1" applyProtection="1">
      <protection locked="0"/>
    </xf>
    <xf numFmtId="44" fontId="10" fillId="2" borderId="9" xfId="0" applyNumberFormat="1" applyFont="1" applyFill="1" applyBorder="1" applyProtection="1">
      <protection locked="0"/>
    </xf>
    <xf numFmtId="3" fontId="10" fillId="2" borderId="14" xfId="0" applyNumberFormat="1" applyFont="1" applyFill="1" applyBorder="1" applyProtection="1">
      <protection locked="0"/>
    </xf>
    <xf numFmtId="44" fontId="10" fillId="0" borderId="2" xfId="0" applyNumberFormat="1" applyFont="1" applyBorder="1"/>
    <xf numFmtId="0" fontId="10" fillId="0" borderId="9" xfId="0" applyFont="1" applyBorder="1" applyAlignment="1">
      <alignment wrapText="1"/>
    </xf>
    <xf numFmtId="0" fontId="10" fillId="0" borderId="17" xfId="0" applyFont="1" applyBorder="1"/>
    <xf numFmtId="0" fontId="10" fillId="0" borderId="6" xfId="0" applyFont="1" applyBorder="1"/>
    <xf numFmtId="0" fontId="10" fillId="0" borderId="18" xfId="0" applyFont="1" applyBorder="1"/>
    <xf numFmtId="9" fontId="10" fillId="2" borderId="19" xfId="0" applyNumberFormat="1" applyFont="1" applyFill="1" applyBorder="1" applyProtection="1">
      <protection locked="0"/>
    </xf>
    <xf numFmtId="170" fontId="10" fillId="0" borderId="14" xfId="0" applyNumberFormat="1" applyFont="1" applyBorder="1"/>
    <xf numFmtId="0" fontId="12" fillId="0" borderId="0" xfId="0" applyFont="1"/>
    <xf numFmtId="0" fontId="10" fillId="0" borderId="20" xfId="0" applyFont="1" applyBorder="1"/>
    <xf numFmtId="44" fontId="10" fillId="3" borderId="20" xfId="0" applyNumberFormat="1" applyFont="1" applyFill="1" applyBorder="1" applyProtection="1">
      <protection locked="0"/>
    </xf>
    <xf numFmtId="44" fontId="10" fillId="3" borderId="9" xfId="0" applyNumberFormat="1" applyFont="1" applyFill="1" applyBorder="1" applyProtection="1">
      <protection locked="0"/>
    </xf>
    <xf numFmtId="0" fontId="14" fillId="0" borderId="10" xfId="0" applyFont="1" applyBorder="1"/>
    <xf numFmtId="3" fontId="10" fillId="0" borderId="2" xfId="0" applyNumberFormat="1" applyFont="1" applyBorder="1"/>
    <xf numFmtId="41" fontId="10" fillId="0" borderId="2" xfId="1" applyNumberFormat="1" applyFont="1" applyBorder="1"/>
    <xf numFmtId="0" fontId="13" fillId="0" borderId="21" xfId="0" applyFont="1" applyBorder="1" applyAlignment="1">
      <alignment horizontal="center"/>
    </xf>
    <xf numFmtId="41" fontId="10" fillId="0" borderId="2" xfId="1" applyNumberFormat="1" applyFont="1" applyFill="1" applyBorder="1"/>
    <xf numFmtId="41" fontId="10" fillId="4" borderId="2" xfId="1" applyNumberFormat="1" applyFont="1" applyFill="1" applyBorder="1" applyProtection="1"/>
    <xf numFmtId="0" fontId="11" fillId="0" borderId="7" xfId="0" applyFont="1" applyBorder="1" applyAlignment="1">
      <alignment horizontal="center" wrapText="1"/>
    </xf>
    <xf numFmtId="44" fontId="10" fillId="0" borderId="20" xfId="0" applyNumberFormat="1" applyFont="1" applyBorder="1"/>
    <xf numFmtId="44" fontId="10" fillId="0" borderId="9" xfId="0" applyNumberFormat="1" applyFont="1" applyBorder="1"/>
    <xf numFmtId="0" fontId="10" fillId="2" borderId="20" xfId="0" applyFont="1" applyFill="1" applyBorder="1" applyProtection="1">
      <protection locked="0"/>
    </xf>
    <xf numFmtId="41" fontId="10" fillId="2" borderId="2" xfId="1" applyNumberFormat="1" applyFont="1" applyFill="1" applyBorder="1" applyProtection="1">
      <protection locked="0"/>
    </xf>
    <xf numFmtId="0" fontId="13" fillId="0" borderId="0" xfId="0" applyFont="1" applyAlignment="1">
      <alignment horizontal="center"/>
    </xf>
    <xf numFmtId="1" fontId="10" fillId="0" borderId="8" xfId="0" applyNumberFormat="1" applyFont="1" applyBorder="1"/>
    <xf numFmtId="1" fontId="10" fillId="0" borderId="2" xfId="0" applyNumberFormat="1" applyFont="1" applyBorder="1"/>
    <xf numFmtId="1" fontId="10" fillId="0" borderId="9" xfId="0" applyNumberFormat="1" applyFont="1" applyBorder="1"/>
    <xf numFmtId="44" fontId="10" fillId="0" borderId="8" xfId="0" applyNumberFormat="1" applyFont="1" applyBorder="1"/>
    <xf numFmtId="164" fontId="10" fillId="0" borderId="0" xfId="0" applyNumberFormat="1" applyFont="1" applyAlignment="1">
      <alignment horizontal="center"/>
    </xf>
    <xf numFmtId="170" fontId="10" fillId="0" borderId="8" xfId="0" applyNumberFormat="1" applyFont="1" applyBorder="1"/>
    <xf numFmtId="42" fontId="10" fillId="0" borderId="20" xfId="0" applyNumberFormat="1" applyFont="1" applyBorder="1"/>
    <xf numFmtId="42" fontId="10" fillId="0" borderId="22" xfId="0" applyNumberFormat="1" applyFont="1" applyBorder="1"/>
    <xf numFmtId="42" fontId="10" fillId="0" borderId="23" xfId="0" applyNumberFormat="1" applyFont="1" applyBorder="1"/>
    <xf numFmtId="169" fontId="10" fillId="2" borderId="8" xfId="0" applyNumberFormat="1" applyFont="1" applyFill="1" applyBorder="1" applyProtection="1">
      <protection locked="0"/>
    </xf>
    <xf numFmtId="171" fontId="10" fillId="0" borderId="0" xfId="0" applyNumberFormat="1" applyFont="1"/>
    <xf numFmtId="41" fontId="10" fillId="2" borderId="2" xfId="0" applyNumberFormat="1" applyFont="1" applyFill="1" applyBorder="1" applyProtection="1">
      <protection locked="0"/>
    </xf>
    <xf numFmtId="0" fontId="9" fillId="5" borderId="24" xfId="0" applyFont="1" applyFill="1" applyBorder="1" applyAlignment="1">
      <alignment horizontal="center"/>
    </xf>
    <xf numFmtId="1" fontId="10" fillId="2" borderId="2" xfId="0" applyNumberFormat="1" applyFont="1" applyFill="1" applyBorder="1" applyProtection="1">
      <protection locked="0"/>
    </xf>
    <xf numFmtId="0" fontId="23" fillId="0" borderId="25" xfId="0" applyFont="1" applyBorder="1" applyAlignment="1">
      <alignment vertical="center"/>
    </xf>
    <xf numFmtId="0" fontId="23" fillId="0" borderId="26" xfId="0" applyFont="1" applyBorder="1" applyAlignment="1">
      <alignment vertical="center" wrapText="1"/>
    </xf>
    <xf numFmtId="0" fontId="23" fillId="0" borderId="27" xfId="0" applyFont="1" applyBorder="1" applyAlignment="1">
      <alignment horizontal="left" wrapText="1"/>
    </xf>
    <xf numFmtId="0" fontId="24" fillId="5" borderId="27" xfId="0" applyFont="1" applyFill="1" applyBorder="1" applyAlignment="1">
      <alignment horizontal="center"/>
    </xf>
    <xf numFmtId="0" fontId="24" fillId="5" borderId="10" xfId="0" applyFont="1" applyFill="1" applyBorder="1" applyAlignment="1">
      <alignment horizontal="center"/>
    </xf>
    <xf numFmtId="0" fontId="24" fillId="5" borderId="19" xfId="0" applyFont="1" applyFill="1" applyBorder="1" applyAlignment="1">
      <alignment horizontal="center"/>
    </xf>
    <xf numFmtId="0" fontId="23" fillId="0" borderId="27" xfId="0" applyFont="1" applyBorder="1" applyAlignment="1">
      <alignment vertical="center" wrapText="1"/>
    </xf>
    <xf numFmtId="0" fontId="23" fillId="0" borderId="25" xfId="0" applyFont="1" applyBorder="1" applyAlignment="1">
      <alignment vertical="center" wrapText="1"/>
    </xf>
    <xf numFmtId="0" fontId="23" fillId="0" borderId="28" xfId="0" applyFont="1" applyBorder="1" applyAlignment="1">
      <alignment horizontal="left" wrapText="1"/>
    </xf>
    <xf numFmtId="0" fontId="0" fillId="0" borderId="0" xfId="0" applyProtection="1">
      <protection hidden="1"/>
    </xf>
    <xf numFmtId="0" fontId="13"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11" fillId="0" borderId="7" xfId="0" applyFont="1" applyBorder="1" applyProtection="1">
      <protection hidden="1"/>
    </xf>
    <xf numFmtId="0" fontId="10" fillId="0" borderId="7" xfId="0" applyFont="1" applyBorder="1" applyProtection="1">
      <protection hidden="1"/>
    </xf>
    <xf numFmtId="44" fontId="30" fillId="4" borderId="8" xfId="0" applyNumberFormat="1" applyFont="1" applyFill="1" applyBorder="1" applyProtection="1">
      <protection hidden="1"/>
    </xf>
    <xf numFmtId="171" fontId="30" fillId="4" borderId="8" xfId="0" applyNumberFormat="1" applyFont="1" applyFill="1" applyBorder="1" applyProtection="1">
      <protection hidden="1"/>
    </xf>
    <xf numFmtId="41" fontId="20" fillId="0" borderId="17" xfId="0" applyNumberFormat="1" applyFont="1" applyBorder="1" applyProtection="1">
      <protection hidden="1"/>
    </xf>
    <xf numFmtId="168" fontId="20" fillId="0" borderId="17" xfId="0" applyNumberFormat="1" applyFont="1" applyBorder="1" applyProtection="1">
      <protection hidden="1"/>
    </xf>
    <xf numFmtId="168" fontId="22" fillId="0" borderId="17" xfId="0" applyNumberFormat="1" applyFont="1" applyBorder="1" applyProtection="1">
      <protection hidden="1"/>
    </xf>
    <xf numFmtId="171" fontId="20" fillId="0" borderId="17" xfId="0" applyNumberFormat="1" applyFont="1" applyBorder="1" applyProtection="1">
      <protection hidden="1"/>
    </xf>
    <xf numFmtId="9" fontId="10" fillId="0" borderId="2" xfId="3" applyFont="1" applyFill="1" applyBorder="1" applyProtection="1">
      <protection hidden="1"/>
    </xf>
    <xf numFmtId="44" fontId="31" fillId="7" borderId="8" xfId="0" applyNumberFormat="1" applyFont="1" applyFill="1" applyBorder="1" applyProtection="1">
      <protection hidden="1"/>
    </xf>
    <xf numFmtId="44" fontId="31" fillId="7" borderId="17" xfId="0" applyNumberFormat="1" applyFont="1" applyFill="1" applyBorder="1" applyProtection="1">
      <protection hidden="1"/>
    </xf>
    <xf numFmtId="171" fontId="31" fillId="7" borderId="17" xfId="0" applyNumberFormat="1" applyFont="1" applyFill="1" applyBorder="1" applyProtection="1">
      <protection hidden="1"/>
    </xf>
    <xf numFmtId="41" fontId="31" fillId="7" borderId="17" xfId="0" applyNumberFormat="1" applyFont="1" applyFill="1" applyBorder="1" applyProtection="1">
      <protection hidden="1"/>
    </xf>
    <xf numFmtId="168" fontId="31" fillId="7" borderId="17" xfId="0" applyNumberFormat="1" applyFont="1" applyFill="1" applyBorder="1" applyProtection="1">
      <protection hidden="1"/>
    </xf>
    <xf numFmtId="9" fontId="31" fillId="7" borderId="17" xfId="0" applyNumberFormat="1" applyFont="1" applyFill="1" applyBorder="1" applyProtection="1">
      <protection hidden="1"/>
    </xf>
    <xf numFmtId="0" fontId="10" fillId="0" borderId="0" xfId="0" applyFont="1" applyProtection="1">
      <protection hidden="1"/>
    </xf>
    <xf numFmtId="172" fontId="10" fillId="0" borderId="0" xfId="0" applyNumberFormat="1" applyFont="1" applyProtection="1">
      <protection hidden="1"/>
    </xf>
    <xf numFmtId="44" fontId="10" fillId="0" borderId="0" xfId="2" applyFont="1" applyProtection="1">
      <protection hidden="1"/>
    </xf>
    <xf numFmtId="9" fontId="30" fillId="4" borderId="8" xfId="0" applyNumberFormat="1" applyFont="1" applyFill="1" applyBorder="1" applyProtection="1">
      <protection hidden="1"/>
    </xf>
    <xf numFmtId="9" fontId="30" fillId="4" borderId="17" xfId="0" applyNumberFormat="1" applyFont="1" applyFill="1" applyBorder="1" applyProtection="1">
      <protection hidden="1"/>
    </xf>
    <xf numFmtId="168" fontId="22" fillId="0" borderId="2" xfId="0" applyNumberFormat="1" applyFont="1" applyBorder="1" applyProtection="1">
      <protection hidden="1"/>
    </xf>
    <xf numFmtId="9" fontId="31" fillId="7" borderId="8" xfId="0" applyNumberFormat="1" applyFont="1" applyFill="1" applyBorder="1" applyProtection="1">
      <protection hidden="1"/>
    </xf>
    <xf numFmtId="168" fontId="31" fillId="7" borderId="2" xfId="0" applyNumberFormat="1" applyFont="1" applyFill="1" applyBorder="1" applyProtection="1">
      <protection hidden="1"/>
    </xf>
    <xf numFmtId="0" fontId="15" fillId="0" borderId="0" xfId="0" applyFont="1" applyAlignment="1" applyProtection="1">
      <alignment horizontal="center"/>
      <protection hidden="1"/>
    </xf>
    <xf numFmtId="0" fontId="11" fillId="0" borderId="7" xfId="0" applyFont="1" applyBorder="1" applyAlignment="1" applyProtection="1">
      <alignment horizontal="center" wrapText="1"/>
      <protection hidden="1"/>
    </xf>
    <xf numFmtId="164" fontId="11" fillId="0" borderId="7" xfId="0" applyNumberFormat="1" applyFont="1" applyBorder="1" applyAlignment="1" applyProtection="1">
      <alignment horizontal="center" wrapText="1"/>
      <protection hidden="1"/>
    </xf>
    <xf numFmtId="0" fontId="11" fillId="0" borderId="0" xfId="0" applyFont="1" applyAlignment="1" applyProtection="1">
      <alignment horizontal="center" wrapText="1"/>
      <protection hidden="1"/>
    </xf>
    <xf numFmtId="171" fontId="11" fillId="0" borderId="2" xfId="0" applyNumberFormat="1" applyFont="1" applyBorder="1" applyProtection="1">
      <protection hidden="1"/>
    </xf>
    <xf numFmtId="170" fontId="10" fillId="0" borderId="2" xfId="1" applyNumberFormat="1" applyFont="1" applyBorder="1" applyProtection="1">
      <protection hidden="1"/>
    </xf>
    <xf numFmtId="168" fontId="10" fillId="0" borderId="2" xfId="1" applyNumberFormat="1" applyFont="1" applyBorder="1" applyProtection="1">
      <protection hidden="1"/>
    </xf>
    <xf numFmtId="168" fontId="10" fillId="0" borderId="2" xfId="0" applyNumberFormat="1" applyFont="1" applyBorder="1" applyProtection="1">
      <protection hidden="1"/>
    </xf>
    <xf numFmtId="171" fontId="10" fillId="0" borderId="2" xfId="0" applyNumberFormat="1" applyFont="1" applyBorder="1" applyProtection="1">
      <protection hidden="1"/>
    </xf>
    <xf numFmtId="171" fontId="31" fillId="7" borderId="2" xfId="0" applyNumberFormat="1" applyFont="1" applyFill="1" applyBorder="1" applyProtection="1">
      <protection hidden="1"/>
    </xf>
    <xf numFmtId="170" fontId="31" fillId="7" borderId="2" xfId="1" applyNumberFormat="1" applyFont="1" applyFill="1" applyBorder="1" applyProtection="1">
      <protection hidden="1"/>
    </xf>
    <xf numFmtId="9" fontId="31" fillId="7" borderId="2" xfId="3" applyFont="1" applyFill="1" applyBorder="1" applyProtection="1">
      <protection hidden="1"/>
    </xf>
    <xf numFmtId="166" fontId="11" fillId="0" borderId="0" xfId="0" applyNumberFormat="1" applyFont="1" applyProtection="1">
      <protection hidden="1"/>
    </xf>
    <xf numFmtId="37" fontId="10" fillId="0" borderId="0" xfId="0" applyNumberFormat="1" applyFont="1" applyProtection="1">
      <protection hidden="1"/>
    </xf>
    <xf numFmtId="42" fontId="10" fillId="0" borderId="0" xfId="0" applyNumberFormat="1" applyFont="1" applyProtection="1">
      <protection hidden="1"/>
    </xf>
    <xf numFmtId="166" fontId="10" fillId="0" borderId="0" xfId="0" applyNumberFormat="1" applyFont="1" applyProtection="1">
      <protection hidden="1"/>
    </xf>
    <xf numFmtId="9" fontId="10" fillId="0" borderId="0" xfId="3" applyFont="1" applyProtection="1">
      <protection hidden="1"/>
    </xf>
    <xf numFmtId="9" fontId="11" fillId="0" borderId="2" xfId="3" applyFont="1" applyBorder="1" applyProtection="1">
      <protection hidden="1"/>
    </xf>
    <xf numFmtId="173" fontId="31" fillId="7" borderId="2" xfId="0" applyNumberFormat="1" applyFont="1" applyFill="1" applyBorder="1" applyProtection="1">
      <protection hidden="1"/>
    </xf>
    <xf numFmtId="171" fontId="31" fillId="7" borderId="2" xfId="2" applyNumberFormat="1" applyFont="1" applyFill="1" applyBorder="1" applyProtection="1">
      <protection hidden="1"/>
    </xf>
    <xf numFmtId="9" fontId="8" fillId="0" borderId="0" xfId="3" applyFont="1" applyProtection="1">
      <protection hidden="1"/>
    </xf>
    <xf numFmtId="37" fontId="0" fillId="0" borderId="0" xfId="0" applyNumberFormat="1" applyProtection="1">
      <protection hidden="1"/>
    </xf>
    <xf numFmtId="44" fontId="0" fillId="0" borderId="0" xfId="0" applyNumberFormat="1" applyProtection="1">
      <protection hidden="1"/>
    </xf>
    <xf numFmtId="166" fontId="0" fillId="0" borderId="0" xfId="0" applyNumberFormat="1" applyProtection="1">
      <protection hidden="1"/>
    </xf>
    <xf numFmtId="0" fontId="16" fillId="0" borderId="0" xfId="0" applyFont="1" applyProtection="1">
      <protection hidden="1"/>
    </xf>
    <xf numFmtId="0" fontId="0" fillId="0" borderId="0" xfId="0" applyAlignment="1" applyProtection="1">
      <alignment horizontal="center"/>
      <protection hidden="1"/>
    </xf>
    <xf numFmtId="9" fontId="0" fillId="0" borderId="0" xfId="0" applyNumberFormat="1" applyProtection="1">
      <protection hidden="1"/>
    </xf>
    <xf numFmtId="0" fontId="18" fillId="0" borderId="0" xfId="0" applyFont="1" applyProtection="1">
      <protection hidden="1"/>
    </xf>
    <xf numFmtId="0" fontId="21" fillId="0" borderId="0" xfId="0" applyFont="1" applyAlignment="1" applyProtection="1">
      <alignment horizontal="center" wrapText="1"/>
      <protection hidden="1"/>
    </xf>
    <xf numFmtId="0" fontId="19" fillId="0" borderId="7" xfId="0" applyFont="1" applyBorder="1" applyProtection="1">
      <protection hidden="1"/>
    </xf>
    <xf numFmtId="0" fontId="20" fillId="0" borderId="7" xfId="0" applyFont="1" applyBorder="1" applyProtection="1">
      <protection hidden="1"/>
    </xf>
    <xf numFmtId="41" fontId="0" fillId="0" borderId="0" xfId="0" applyNumberFormat="1" applyProtection="1">
      <protection hidden="1"/>
    </xf>
    <xf numFmtId="0" fontId="20" fillId="0" borderId="0" xfId="0" applyFont="1" applyProtection="1">
      <protection hidden="1"/>
    </xf>
    <xf numFmtId="172" fontId="20" fillId="0" borderId="0" xfId="0" applyNumberFormat="1" applyFont="1" applyProtection="1">
      <protection hidden="1"/>
    </xf>
    <xf numFmtId="44" fontId="20" fillId="0" borderId="0" xfId="0" applyNumberFormat="1" applyFont="1" applyProtection="1">
      <protection hidden="1"/>
    </xf>
    <xf numFmtId="168" fontId="0" fillId="0" borderId="0" xfId="0" applyNumberFormat="1" applyProtection="1">
      <protection hidden="1"/>
    </xf>
    <xf numFmtId="164" fontId="11" fillId="0" borderId="0" xfId="0" applyNumberFormat="1" applyFont="1" applyAlignment="1" applyProtection="1">
      <alignment horizontal="center" wrapText="1"/>
      <protection hidden="1"/>
    </xf>
    <xf numFmtId="9" fontId="11" fillId="0" borderId="0" xfId="3" applyFont="1" applyBorder="1" applyProtection="1">
      <protection hidden="1"/>
    </xf>
    <xf numFmtId="170" fontId="10" fillId="0" borderId="0" xfId="1" applyNumberFormat="1" applyFont="1" applyBorder="1" applyProtection="1">
      <protection hidden="1"/>
    </xf>
    <xf numFmtId="168" fontId="10" fillId="0" borderId="0" xfId="0" applyNumberFormat="1" applyFont="1" applyProtection="1">
      <protection hidden="1"/>
    </xf>
    <xf numFmtId="171" fontId="10" fillId="0" borderId="0" xfId="0" applyNumberFormat="1" applyFont="1" applyProtection="1">
      <protection hidden="1"/>
    </xf>
    <xf numFmtId="9" fontId="10" fillId="0" borderId="0" xfId="3" applyFont="1" applyFill="1" applyBorder="1" applyProtection="1">
      <protection hidden="1"/>
    </xf>
    <xf numFmtId="9" fontId="31" fillId="0" borderId="0" xfId="3" applyFont="1" applyFill="1" applyBorder="1" applyProtection="1">
      <protection hidden="1"/>
    </xf>
    <xf numFmtId="170" fontId="31" fillId="0" borderId="0" xfId="1" applyNumberFormat="1" applyFont="1" applyFill="1" applyBorder="1" applyProtection="1">
      <protection hidden="1"/>
    </xf>
    <xf numFmtId="168" fontId="31" fillId="0" borderId="0" xfId="0" applyNumberFormat="1" applyFont="1" applyProtection="1">
      <protection hidden="1"/>
    </xf>
    <xf numFmtId="171" fontId="31" fillId="0" borderId="0" xfId="0" applyNumberFormat="1" applyFont="1" applyProtection="1">
      <protection hidden="1"/>
    </xf>
    <xf numFmtId="0" fontId="9" fillId="0" borderId="0" xfId="0" applyFont="1" applyProtection="1">
      <protection hidden="1"/>
    </xf>
    <xf numFmtId="9" fontId="9" fillId="0" borderId="0" xfId="0" applyNumberFormat="1" applyFont="1" applyProtection="1">
      <protection hidden="1"/>
    </xf>
    <xf numFmtId="0" fontId="17" fillId="0" borderId="0" xfId="0" applyFont="1" applyProtection="1">
      <protection hidden="1"/>
    </xf>
    <xf numFmtId="0" fontId="12" fillId="0" borderId="0" xfId="0" applyFont="1" applyAlignment="1" applyProtection="1">
      <alignment horizontal="center"/>
      <protection hidden="1"/>
    </xf>
    <xf numFmtId="164" fontId="10" fillId="0" borderId="7" xfId="0" applyNumberFormat="1" applyFont="1" applyBorder="1" applyProtection="1">
      <protection hidden="1"/>
    </xf>
    <xf numFmtId="0" fontId="13" fillId="0" borderId="3" xfId="0" applyFont="1" applyBorder="1" applyAlignment="1" applyProtection="1">
      <alignment horizontal="center"/>
      <protection hidden="1"/>
    </xf>
    <xf numFmtId="0" fontId="13" fillId="0" borderId="21" xfId="0" applyFont="1" applyBorder="1" applyAlignment="1" applyProtection="1">
      <alignment horizontal="center"/>
      <protection hidden="1"/>
    </xf>
    <xf numFmtId="0" fontId="13" fillId="0" borderId="4" xfId="0" applyFont="1" applyBorder="1" applyAlignment="1" applyProtection="1">
      <alignment horizontal="center"/>
      <protection hidden="1"/>
    </xf>
    <xf numFmtId="3" fontId="10" fillId="2" borderId="16" xfId="0" applyNumberFormat="1" applyFont="1" applyFill="1" applyBorder="1" applyProtection="1">
      <protection locked="0" hidden="1"/>
    </xf>
    <xf numFmtId="0" fontId="10" fillId="0" borderId="5" xfId="0" applyFont="1" applyBorder="1" applyProtection="1">
      <protection hidden="1"/>
    </xf>
    <xf numFmtId="167" fontId="10" fillId="2" borderId="14" xfId="0" applyNumberFormat="1" applyFont="1" applyFill="1" applyBorder="1" applyProtection="1">
      <protection locked="0" hidden="1"/>
    </xf>
    <xf numFmtId="3" fontId="10" fillId="2" borderId="14" xfId="1" applyNumberFormat="1" applyFont="1" applyFill="1" applyBorder="1" applyProtection="1">
      <protection locked="0" hidden="1"/>
    </xf>
    <xf numFmtId="164" fontId="10" fillId="0" borderId="6" xfId="0" applyNumberFormat="1" applyFont="1" applyBorder="1" applyProtection="1">
      <protection hidden="1"/>
    </xf>
    <xf numFmtId="3" fontId="10" fillId="2" borderId="14" xfId="0" applyNumberFormat="1" applyFont="1" applyFill="1" applyBorder="1" applyProtection="1">
      <protection locked="0" hidden="1"/>
    </xf>
    <xf numFmtId="0" fontId="12" fillId="0" borderId="5" xfId="0" applyFont="1" applyBorder="1" applyProtection="1">
      <protection hidden="1"/>
    </xf>
    <xf numFmtId="164" fontId="10" fillId="2" borderId="14" xfId="0" applyNumberFormat="1" applyFont="1" applyFill="1" applyBorder="1" applyProtection="1">
      <protection locked="0" hidden="1"/>
    </xf>
    <xf numFmtId="9" fontId="10" fillId="0" borderId="14" xfId="0" applyNumberFormat="1" applyFont="1" applyBorder="1" applyProtection="1">
      <protection hidden="1"/>
    </xf>
    <xf numFmtId="9" fontId="10" fillId="2" borderId="14" xfId="0" applyNumberFormat="1" applyFont="1" applyFill="1" applyBorder="1" applyProtection="1">
      <protection locked="0" hidden="1"/>
    </xf>
    <xf numFmtId="0" fontId="32" fillId="0" borderId="0" xfId="0" applyFont="1" applyProtection="1">
      <protection hidden="1"/>
    </xf>
    <xf numFmtId="0" fontId="12" fillId="0" borderId="13" xfId="0" applyFont="1" applyBorder="1" applyProtection="1">
      <protection hidden="1"/>
    </xf>
    <xf numFmtId="175" fontId="10" fillId="2" borderId="15" xfId="0" applyNumberFormat="1" applyFont="1" applyFill="1" applyBorder="1" applyProtection="1">
      <protection locked="0" hidden="1"/>
    </xf>
    <xf numFmtId="9" fontId="10" fillId="0" borderId="14" xfId="0" applyNumberFormat="1" applyFont="1" applyBorder="1" applyAlignment="1" applyProtection="1">
      <alignment horizontal="right"/>
      <protection hidden="1"/>
    </xf>
    <xf numFmtId="0" fontId="13" fillId="0" borderId="0" xfId="0" applyFont="1" applyAlignment="1" applyProtection="1">
      <alignment horizontal="center"/>
      <protection hidden="1"/>
    </xf>
    <xf numFmtId="9" fontId="10" fillId="2" borderId="19" xfId="0" applyNumberFormat="1" applyFont="1" applyFill="1" applyBorder="1" applyProtection="1">
      <protection locked="0" hidden="1"/>
    </xf>
    <xf numFmtId="9" fontId="10" fillId="0" borderId="6" xfId="0" applyNumberFormat="1" applyFont="1" applyBorder="1" applyProtection="1">
      <protection locked="0" hidden="1"/>
    </xf>
    <xf numFmtId="0" fontId="10" fillId="0" borderId="6" xfId="0" applyFont="1" applyBorder="1" applyProtection="1">
      <protection hidden="1"/>
    </xf>
    <xf numFmtId="0" fontId="3" fillId="0" borderId="0" xfId="0" applyFont="1" applyProtection="1">
      <protection hidden="1"/>
    </xf>
    <xf numFmtId="3" fontId="10" fillId="0" borderId="14" xfId="0" applyNumberFormat="1" applyFont="1" applyBorder="1" applyProtection="1">
      <protection hidden="1"/>
    </xf>
    <xf numFmtId="9" fontId="10" fillId="0" borderId="0" xfId="0" applyNumberFormat="1" applyFont="1" applyProtection="1">
      <protection hidden="1"/>
    </xf>
    <xf numFmtId="3" fontId="10" fillId="0" borderId="18" xfId="0" applyNumberFormat="1" applyFont="1" applyBorder="1" applyProtection="1">
      <protection hidden="1"/>
    </xf>
    <xf numFmtId="0" fontId="15" fillId="0" borderId="0" xfId="0" applyFont="1" applyProtection="1">
      <protection hidden="1"/>
    </xf>
    <xf numFmtId="164" fontId="11" fillId="0" borderId="7" xfId="0" applyNumberFormat="1" applyFont="1" applyBorder="1" applyAlignment="1" applyProtection="1">
      <alignment horizontal="center"/>
      <protection hidden="1"/>
    </xf>
    <xf numFmtId="0" fontId="11" fillId="0" borderId="7" xfId="0" applyFont="1" applyBorder="1" applyAlignment="1" applyProtection="1">
      <alignment horizontal="center"/>
      <protection hidden="1"/>
    </xf>
    <xf numFmtId="0" fontId="11" fillId="0" borderId="0" xfId="0" applyFont="1" applyProtection="1">
      <protection hidden="1"/>
    </xf>
    <xf numFmtId="0" fontId="10" fillId="0" borderId="8" xfId="0" applyFont="1" applyBorder="1" applyProtection="1">
      <protection hidden="1"/>
    </xf>
    <xf numFmtId="44" fontId="10" fillId="2" borderId="8" xfId="0" applyNumberFormat="1" applyFont="1" applyFill="1" applyBorder="1" applyProtection="1">
      <protection locked="0" hidden="1"/>
    </xf>
    <xf numFmtId="1" fontId="10" fillId="2" borderId="8" xfId="0" applyNumberFormat="1" applyFont="1" applyFill="1" applyBorder="1" applyProtection="1">
      <protection locked="0" hidden="1"/>
    </xf>
    <xf numFmtId="1" fontId="10" fillId="0" borderId="8" xfId="0" applyNumberFormat="1" applyFont="1" applyBorder="1" applyProtection="1">
      <protection locked="0" hidden="1"/>
    </xf>
    <xf numFmtId="3" fontId="10" fillId="0" borderId="8" xfId="0" applyNumberFormat="1" applyFont="1" applyBorder="1" applyProtection="1">
      <protection hidden="1"/>
    </xf>
    <xf numFmtId="42" fontId="10" fillId="0" borderId="8" xfId="0" applyNumberFormat="1" applyFont="1" applyBorder="1" applyProtection="1">
      <protection hidden="1"/>
    </xf>
    <xf numFmtId="0" fontId="10" fillId="0" borderId="2" xfId="0" applyFont="1" applyBorder="1" applyProtection="1">
      <protection hidden="1"/>
    </xf>
    <xf numFmtId="44" fontId="10" fillId="2" borderId="2" xfId="0" applyNumberFormat="1" applyFont="1" applyFill="1" applyBorder="1" applyProtection="1">
      <protection locked="0" hidden="1"/>
    </xf>
    <xf numFmtId="1" fontId="10" fillId="2" borderId="2" xfId="0" applyNumberFormat="1" applyFont="1" applyFill="1" applyBorder="1" applyProtection="1">
      <protection locked="0" hidden="1"/>
    </xf>
    <xf numFmtId="1" fontId="3" fillId="0" borderId="2" xfId="0" applyNumberFormat="1" applyFont="1" applyBorder="1" applyProtection="1">
      <protection locked="0" hidden="1"/>
    </xf>
    <xf numFmtId="3" fontId="10" fillId="0" borderId="2" xfId="0" applyNumberFormat="1" applyFont="1" applyBorder="1" applyProtection="1">
      <protection hidden="1"/>
    </xf>
    <xf numFmtId="42" fontId="10" fillId="0" borderId="2" xfId="0" applyNumberFormat="1" applyFont="1" applyBorder="1" applyProtection="1">
      <protection hidden="1"/>
    </xf>
    <xf numFmtId="0" fontId="3" fillId="0" borderId="2" xfId="0" applyFont="1" applyBorder="1" applyProtection="1">
      <protection hidden="1"/>
    </xf>
    <xf numFmtId="0" fontId="10" fillId="0" borderId="2" xfId="0" applyFont="1" applyBorder="1" applyProtection="1">
      <protection locked="0" hidden="1"/>
    </xf>
    <xf numFmtId="42" fontId="10" fillId="0" borderId="20" xfId="0" applyNumberFormat="1" applyFont="1" applyBorder="1" applyProtection="1">
      <protection hidden="1"/>
    </xf>
    <xf numFmtId="42" fontId="10" fillId="0" borderId="22" xfId="0" applyNumberFormat="1" applyFont="1" applyBorder="1" applyProtection="1">
      <protection hidden="1"/>
    </xf>
    <xf numFmtId="1" fontId="10" fillId="0" borderId="2" xfId="0" applyNumberFormat="1" applyFont="1" applyBorder="1" applyProtection="1">
      <protection locked="0" hidden="1"/>
    </xf>
    <xf numFmtId="0" fontId="3" fillId="0" borderId="9" xfId="0" applyFont="1" applyBorder="1" applyAlignment="1" applyProtection="1">
      <alignment wrapText="1"/>
      <protection hidden="1"/>
    </xf>
    <xf numFmtId="44" fontId="10" fillId="2" borderId="9" xfId="0" applyNumberFormat="1" applyFont="1" applyFill="1" applyBorder="1" applyProtection="1">
      <protection locked="0" hidden="1"/>
    </xf>
    <xf numFmtId="1" fontId="10" fillId="2" borderId="9" xfId="0" applyNumberFormat="1" applyFont="1" applyFill="1" applyBorder="1" applyProtection="1">
      <protection locked="0" hidden="1"/>
    </xf>
    <xf numFmtId="0" fontId="10" fillId="0" borderId="9" xfId="0" applyFont="1" applyBorder="1" applyProtection="1">
      <protection hidden="1"/>
    </xf>
    <xf numFmtId="164" fontId="10" fillId="0" borderId="0" xfId="0" applyNumberFormat="1" applyFont="1" applyProtection="1">
      <protection hidden="1"/>
    </xf>
    <xf numFmtId="0" fontId="14" fillId="0" borderId="1" xfId="0" applyFont="1" applyBorder="1" applyProtection="1">
      <protection hidden="1"/>
    </xf>
    <xf numFmtId="164" fontId="10" fillId="0" borderId="1" xfId="0" applyNumberFormat="1" applyFont="1" applyBorder="1" applyProtection="1">
      <protection hidden="1"/>
    </xf>
    <xf numFmtId="0" fontId="10" fillId="0" borderId="1" xfId="0" applyFont="1" applyBorder="1" applyProtection="1">
      <protection hidden="1"/>
    </xf>
    <xf numFmtId="0" fontId="10" fillId="0" borderId="17" xfId="0" applyFont="1" applyBorder="1" applyProtection="1">
      <protection hidden="1"/>
    </xf>
    <xf numFmtId="168" fontId="10" fillId="0" borderId="8" xfId="0" applyNumberFormat="1" applyFont="1" applyBorder="1" applyProtection="1">
      <protection hidden="1"/>
    </xf>
    <xf numFmtId="0" fontId="10" fillId="0" borderId="2" xfId="0" applyFont="1" applyBorder="1" applyAlignment="1" applyProtection="1">
      <alignment wrapText="1"/>
      <protection hidden="1"/>
    </xf>
    <xf numFmtId="41" fontId="10" fillId="0" borderId="2" xfId="1" applyNumberFormat="1" applyFont="1" applyBorder="1" applyProtection="1">
      <protection hidden="1"/>
    </xf>
    <xf numFmtId="41" fontId="10" fillId="2" borderId="2" xfId="1" applyNumberFormat="1" applyFont="1" applyFill="1" applyBorder="1" applyProtection="1">
      <protection locked="0" hidden="1"/>
    </xf>
    <xf numFmtId="0" fontId="10" fillId="2" borderId="2" xfId="0" applyFont="1" applyFill="1" applyBorder="1" applyProtection="1">
      <protection locked="0" hidden="1"/>
    </xf>
    <xf numFmtId="41" fontId="10" fillId="4" borderId="2" xfId="1" applyNumberFormat="1" applyFont="1" applyFill="1" applyBorder="1" applyProtection="1">
      <protection hidden="1"/>
    </xf>
    <xf numFmtId="41" fontId="10" fillId="0" borderId="2" xfId="1" applyNumberFormat="1" applyFont="1" applyFill="1" applyBorder="1" applyProtection="1">
      <protection hidden="1"/>
    </xf>
    <xf numFmtId="0" fontId="11" fillId="0" borderId="0" xfId="0" applyFont="1" applyAlignment="1" applyProtection="1">
      <alignment horizontal="center"/>
      <protection hidden="1"/>
    </xf>
    <xf numFmtId="0" fontId="14" fillId="0" borderId="12" xfId="0" applyFont="1" applyBorder="1" applyProtection="1">
      <protection hidden="1"/>
    </xf>
    <xf numFmtId="0" fontId="14" fillId="0" borderId="10" xfId="0" applyFont="1" applyBorder="1" applyProtection="1">
      <protection hidden="1"/>
    </xf>
    <xf numFmtId="168" fontId="10" fillId="0" borderId="10" xfId="0" applyNumberFormat="1" applyFont="1" applyBorder="1" applyProtection="1">
      <protection hidden="1"/>
    </xf>
    <xf numFmtId="168" fontId="10" fillId="0" borderId="11" xfId="0" applyNumberFormat="1" applyFont="1" applyBorder="1" applyProtection="1">
      <protection hidden="1"/>
    </xf>
    <xf numFmtId="44" fontId="10" fillId="0" borderId="2" xfId="0" applyNumberFormat="1" applyFont="1" applyBorder="1" applyProtection="1">
      <protection hidden="1"/>
    </xf>
    <xf numFmtId="0" fontId="10" fillId="0" borderId="20" xfId="0" applyFont="1" applyBorder="1" applyProtection="1">
      <protection hidden="1"/>
    </xf>
    <xf numFmtId="0" fontId="10" fillId="2" borderId="20" xfId="0" applyFont="1" applyFill="1" applyBorder="1" applyProtection="1">
      <protection locked="0" hidden="1"/>
    </xf>
    <xf numFmtId="44" fontId="10" fillId="0" borderId="20" xfId="0" applyNumberFormat="1" applyFont="1" applyBorder="1" applyProtection="1">
      <protection hidden="1"/>
    </xf>
    <xf numFmtId="44" fontId="10" fillId="3" borderId="20" xfId="0" applyNumberFormat="1" applyFont="1" applyFill="1" applyBorder="1" applyProtection="1">
      <protection locked="0" hidden="1"/>
    </xf>
    <xf numFmtId="0" fontId="10" fillId="2" borderId="9" xfId="0" applyFont="1" applyFill="1" applyBorder="1" applyProtection="1">
      <protection locked="0" hidden="1"/>
    </xf>
    <xf numFmtId="44" fontId="10" fillId="0" borderId="9" xfId="0" applyNumberFormat="1" applyFont="1" applyBorder="1" applyProtection="1">
      <protection hidden="1"/>
    </xf>
    <xf numFmtId="44" fontId="10" fillId="3" borderId="9" xfId="0" applyNumberFormat="1" applyFont="1" applyFill="1" applyBorder="1" applyProtection="1">
      <protection locked="0" hidden="1"/>
    </xf>
    <xf numFmtId="165" fontId="10" fillId="0" borderId="0" xfId="0" applyNumberFormat="1" applyFont="1" applyProtection="1">
      <protection hidden="1"/>
    </xf>
    <xf numFmtId="174" fontId="10" fillId="2" borderId="8" xfId="0" applyNumberFormat="1" applyFont="1" applyFill="1" applyBorder="1" applyProtection="1">
      <protection locked="0" hidden="1"/>
    </xf>
    <xf numFmtId="169" fontId="10" fillId="0" borderId="8" xfId="0" applyNumberFormat="1" applyFont="1" applyBorder="1" applyProtection="1">
      <protection hidden="1"/>
    </xf>
    <xf numFmtId="169" fontId="10" fillId="0" borderId="2" xfId="0" applyNumberFormat="1" applyFont="1" applyBorder="1" applyProtection="1">
      <protection hidden="1"/>
    </xf>
    <xf numFmtId="0" fontId="12" fillId="0" borderId="0" xfId="0" applyFont="1" applyProtection="1">
      <protection hidden="1"/>
    </xf>
    <xf numFmtId="164" fontId="10" fillId="0" borderId="0" xfId="0" applyNumberFormat="1" applyFont="1" applyAlignment="1" applyProtection="1">
      <alignment horizontal="center"/>
      <protection hidden="1"/>
    </xf>
    <xf numFmtId="44" fontId="10" fillId="0" borderId="8" xfId="0" applyNumberFormat="1" applyFont="1" applyBorder="1" applyProtection="1">
      <protection hidden="1"/>
    </xf>
    <xf numFmtId="1" fontId="10" fillId="0" borderId="8" xfId="0" applyNumberFormat="1" applyFont="1" applyBorder="1" applyProtection="1">
      <protection hidden="1"/>
    </xf>
    <xf numFmtId="1" fontId="10" fillId="0" borderId="2" xfId="0" applyNumberFormat="1" applyFont="1" applyBorder="1" applyProtection="1">
      <protection hidden="1"/>
    </xf>
    <xf numFmtId="0" fontId="10" fillId="0" borderId="9" xfId="0" applyFont="1" applyBorder="1" applyAlignment="1" applyProtection="1">
      <alignment wrapText="1"/>
      <protection hidden="1"/>
    </xf>
    <xf numFmtId="1" fontId="10" fillId="0" borderId="9" xfId="0" applyNumberFormat="1" applyFont="1" applyBorder="1" applyProtection="1">
      <protection hidden="1"/>
    </xf>
    <xf numFmtId="42" fontId="10" fillId="0" borderId="9" xfId="0" applyNumberFormat="1" applyFont="1" applyBorder="1" applyProtection="1">
      <protection hidden="1"/>
    </xf>
    <xf numFmtId="169" fontId="10" fillId="0" borderId="0" xfId="0" applyNumberFormat="1" applyFont="1" applyProtection="1">
      <protection hidden="1"/>
    </xf>
    <xf numFmtId="0" fontId="13" fillId="0" borderId="0" xfId="0" applyFont="1" applyProtection="1">
      <protection hidden="1"/>
    </xf>
    <xf numFmtId="41" fontId="10" fillId="0" borderId="0" xfId="1" applyNumberFormat="1" applyFont="1" applyBorder="1" applyProtection="1">
      <protection hidden="1"/>
    </xf>
    <xf numFmtId="44" fontId="10" fillId="0" borderId="0" xfId="0" applyNumberFormat="1" applyFont="1" applyProtection="1">
      <protection hidden="1"/>
    </xf>
    <xf numFmtId="168" fontId="10" fillId="0" borderId="1" xfId="0" applyNumberFormat="1" applyFont="1" applyBorder="1" applyProtection="1">
      <protection hidden="1"/>
    </xf>
    <xf numFmtId="168" fontId="11" fillId="0" borderId="0" xfId="0" applyNumberFormat="1" applyFont="1" applyProtection="1">
      <protection hidden="1"/>
    </xf>
    <xf numFmtId="9" fontId="10" fillId="0" borderId="0" xfId="3" applyFont="1" applyBorder="1" applyProtection="1">
      <protection hidden="1"/>
    </xf>
    <xf numFmtId="167" fontId="10" fillId="0" borderId="0" xfId="0" applyNumberFormat="1" applyFont="1" applyProtection="1">
      <protection hidden="1"/>
    </xf>
    <xf numFmtId="3" fontId="0" fillId="0" borderId="0" xfId="0" applyNumberFormat="1" applyProtection="1">
      <protection hidden="1"/>
    </xf>
    <xf numFmtId="167" fontId="0" fillId="0" borderId="0" xfId="0" applyNumberFormat="1" applyProtection="1">
      <protection hidden="1"/>
    </xf>
    <xf numFmtId="0" fontId="33" fillId="0" borderId="0" xfId="0" applyFont="1"/>
    <xf numFmtId="0" fontId="1" fillId="0" borderId="0" xfId="0" applyFont="1" applyProtection="1">
      <protection hidden="1"/>
    </xf>
    <xf numFmtId="0" fontId="25" fillId="4" borderId="3" xfId="0" applyFont="1" applyFill="1" applyBorder="1" applyAlignment="1">
      <alignment horizontal="center"/>
    </xf>
    <xf numFmtId="0" fontId="25" fillId="4" borderId="21" xfId="0" applyFont="1" applyFill="1" applyBorder="1" applyAlignment="1">
      <alignment horizontal="center"/>
    </xf>
    <xf numFmtId="0" fontId="25" fillId="4" borderId="4" xfId="0" applyFont="1" applyFill="1" applyBorder="1" applyAlignment="1">
      <alignment horizontal="center"/>
    </xf>
    <xf numFmtId="0" fontId="23" fillId="5" borderId="31" xfId="0" applyFont="1" applyFill="1" applyBorder="1" applyAlignment="1">
      <alignment horizontal="center"/>
    </xf>
    <xf numFmtId="0" fontId="23" fillId="5" borderId="10" xfId="0" applyFont="1" applyFill="1" applyBorder="1" applyAlignment="1">
      <alignment horizontal="center"/>
    </xf>
    <xf numFmtId="0" fontId="23" fillId="5" borderId="14" xfId="0" applyFont="1" applyFill="1" applyBorder="1" applyAlignment="1">
      <alignment horizontal="center"/>
    </xf>
    <xf numFmtId="0" fontId="24" fillId="5" borderId="31" xfId="0" applyFont="1" applyFill="1" applyBorder="1" applyAlignment="1">
      <alignment horizontal="center"/>
    </xf>
    <xf numFmtId="0" fontId="24" fillId="5" borderId="10" xfId="0" applyFont="1" applyFill="1" applyBorder="1" applyAlignment="1">
      <alignment horizontal="center"/>
    </xf>
    <xf numFmtId="0" fontId="24" fillId="5" borderId="19" xfId="0" applyFont="1" applyFill="1" applyBorder="1" applyAlignment="1">
      <alignment horizontal="center"/>
    </xf>
    <xf numFmtId="1" fontId="23" fillId="2" borderId="12" xfId="0" applyNumberFormat="1" applyFont="1" applyFill="1" applyBorder="1" applyAlignment="1" applyProtection="1">
      <alignment horizontal="center" vertical="center"/>
      <protection locked="0"/>
    </xf>
    <xf numFmtId="1" fontId="23" fillId="2" borderId="14" xfId="0" applyNumberFormat="1" applyFont="1" applyFill="1" applyBorder="1" applyAlignment="1" applyProtection="1">
      <alignment horizontal="center" vertical="center"/>
      <protection locked="0"/>
    </xf>
    <xf numFmtId="0" fontId="9" fillId="5" borderId="32" xfId="0" applyFont="1" applyFill="1" applyBorder="1" applyAlignment="1">
      <alignment horizontal="center"/>
    </xf>
    <xf numFmtId="0" fontId="9" fillId="5" borderId="33" xfId="0" applyFont="1" applyFill="1" applyBorder="1" applyAlignment="1">
      <alignment horizontal="center"/>
    </xf>
    <xf numFmtId="1" fontId="23" fillId="2" borderId="30" xfId="0" applyNumberFormat="1" applyFont="1" applyFill="1" applyBorder="1" applyAlignment="1" applyProtection="1">
      <alignment horizontal="center" vertical="center"/>
      <protection locked="0"/>
    </xf>
    <xf numFmtId="1" fontId="23" fillId="2" borderId="15" xfId="0" applyNumberFormat="1" applyFont="1" applyFill="1" applyBorder="1" applyAlignment="1" applyProtection="1">
      <alignment horizontal="center" vertical="center"/>
      <protection locked="0"/>
    </xf>
    <xf numFmtId="0" fontId="23" fillId="5" borderId="31"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15" fillId="0" borderId="0" xfId="0" applyFont="1" applyAlignment="1" applyProtection="1">
      <alignment horizontal="center"/>
      <protection hidden="1"/>
    </xf>
    <xf numFmtId="0" fontId="12" fillId="0" borderId="5" xfId="0" applyFont="1" applyBorder="1" applyAlignment="1" applyProtection="1">
      <alignment horizontal="left"/>
      <protection hidden="1"/>
    </xf>
    <xf numFmtId="0" fontId="12" fillId="0" borderId="0" xfId="0" applyFont="1" applyAlignment="1" applyProtection="1">
      <alignment horizontal="left"/>
      <protection hidden="1"/>
    </xf>
    <xf numFmtId="0" fontId="10" fillId="0" borderId="5" xfId="0" applyFont="1" applyBorder="1" applyAlignment="1" applyProtection="1">
      <alignment horizontal="left"/>
      <protection hidden="1"/>
    </xf>
    <xf numFmtId="0" fontId="10" fillId="0" borderId="0" xfId="0" applyFont="1" applyAlignment="1" applyProtection="1">
      <alignment horizontal="left"/>
      <protection hidden="1"/>
    </xf>
    <xf numFmtId="0" fontId="10" fillId="0" borderId="6" xfId="0" applyFont="1" applyBorder="1" applyAlignment="1" applyProtection="1">
      <alignment horizontal="left"/>
      <protection hidden="1"/>
    </xf>
    <xf numFmtId="164" fontId="10" fillId="0" borderId="5" xfId="0" applyNumberFormat="1" applyFont="1" applyBorder="1" applyAlignment="1" applyProtection="1">
      <alignment horizontal="left"/>
      <protection hidden="1"/>
    </xf>
    <xf numFmtId="164" fontId="10" fillId="0" borderId="0" xfId="0" applyNumberFormat="1" applyFont="1" applyAlignment="1" applyProtection="1">
      <alignment horizontal="left"/>
      <protection hidden="1"/>
    </xf>
    <xf numFmtId="164" fontId="26" fillId="0" borderId="0" xfId="0" applyNumberFormat="1" applyFont="1" applyAlignment="1" applyProtection="1">
      <alignment horizontal="center"/>
      <protection hidden="1"/>
    </xf>
    <xf numFmtId="164" fontId="16" fillId="0" borderId="0" xfId="0" applyNumberFormat="1" applyFont="1" applyAlignment="1" applyProtection="1">
      <alignment horizontal="center"/>
      <protection hidden="1"/>
    </xf>
    <xf numFmtId="0" fontId="17" fillId="0" borderId="0" xfId="0" applyFont="1" applyAlignment="1" applyProtection="1">
      <alignment horizontal="center"/>
      <protection hidden="1"/>
    </xf>
    <xf numFmtId="9" fontId="10" fillId="0" borderId="5" xfId="0" applyNumberFormat="1" applyFont="1" applyBorder="1" applyAlignment="1" applyProtection="1">
      <alignment horizontal="left"/>
      <protection hidden="1"/>
    </xf>
    <xf numFmtId="9" fontId="10" fillId="0" borderId="0" xfId="0" applyNumberFormat="1" applyFont="1" applyAlignment="1" applyProtection="1">
      <alignment horizontal="left"/>
      <protection hidden="1"/>
    </xf>
    <xf numFmtId="0" fontId="12" fillId="0" borderId="0" xfId="0" applyFont="1" applyAlignment="1" applyProtection="1">
      <alignment horizontal="center"/>
      <protection hidden="1"/>
    </xf>
    <xf numFmtId="164" fontId="12" fillId="0" borderId="5" xfId="0" applyNumberFormat="1" applyFont="1" applyBorder="1" applyAlignment="1" applyProtection="1">
      <alignment horizontal="left"/>
      <protection hidden="1"/>
    </xf>
    <xf numFmtId="164" fontId="12" fillId="0" borderId="0" xfId="0" applyNumberFormat="1" applyFont="1" applyAlignment="1" applyProtection="1">
      <alignment horizontal="left"/>
      <protection hidden="1"/>
    </xf>
    <xf numFmtId="9" fontId="10" fillId="0" borderId="13" xfId="3" applyFont="1" applyBorder="1" applyAlignment="1" applyProtection="1">
      <alignment horizontal="left"/>
      <protection hidden="1"/>
    </xf>
    <xf numFmtId="9" fontId="10" fillId="0" borderId="7" xfId="3" applyFont="1" applyBorder="1" applyAlignment="1" applyProtection="1">
      <alignment horizontal="left"/>
      <protection hidden="1"/>
    </xf>
    <xf numFmtId="0" fontId="2" fillId="0" borderId="5" xfId="0" applyFont="1" applyBorder="1" applyAlignment="1" applyProtection="1">
      <alignment horizontal="left"/>
      <protection hidden="1"/>
    </xf>
    <xf numFmtId="0" fontId="27" fillId="0" borderId="0" xfId="0" applyFont="1" applyAlignment="1" applyProtection="1">
      <alignment horizontal="center"/>
      <protection hidden="1"/>
    </xf>
    <xf numFmtId="0" fontId="16" fillId="0" borderId="0" xfId="0" applyFont="1" applyAlignment="1" applyProtection="1">
      <alignment horizontal="center"/>
      <protection hidden="1"/>
    </xf>
    <xf numFmtId="0" fontId="28" fillId="0" borderId="0" xfId="0" applyFont="1" applyAlignment="1" applyProtection="1">
      <alignment horizontal="center"/>
      <protection hidden="1"/>
    </xf>
    <xf numFmtId="0" fontId="29" fillId="0" borderId="0" xfId="0" applyFont="1" applyAlignment="1" applyProtection="1">
      <alignment horizontal="center"/>
      <protection hidden="1"/>
    </xf>
    <xf numFmtId="0" fontId="21" fillId="0" borderId="0" xfId="0" applyFont="1" applyAlignment="1" applyProtection="1">
      <alignment horizontal="center"/>
      <protection hidden="1"/>
    </xf>
    <xf numFmtId="0" fontId="13" fillId="0" borderId="0" xfId="0" applyFont="1" applyAlignment="1" applyProtection="1">
      <alignment horizontal="center" wrapText="1"/>
      <protection hidden="1"/>
    </xf>
    <xf numFmtId="0" fontId="12" fillId="0" borderId="5" xfId="0" applyFont="1" applyBorder="1" applyAlignment="1">
      <alignment horizontal="left"/>
    </xf>
    <xf numFmtId="0" fontId="12" fillId="0" borderId="0" xfId="0" applyFont="1" applyAlignment="1">
      <alignment horizontal="left"/>
    </xf>
    <xf numFmtId="0" fontId="10" fillId="0" borderId="5" xfId="0" applyFont="1" applyBorder="1" applyAlignment="1">
      <alignment horizontal="left"/>
    </xf>
    <xf numFmtId="0" fontId="10" fillId="0" borderId="0" xfId="0" applyFont="1" applyAlignment="1">
      <alignment horizontal="left"/>
    </xf>
    <xf numFmtId="9" fontId="10" fillId="0" borderId="5" xfId="0" applyNumberFormat="1" applyFont="1" applyBorder="1" applyAlignment="1">
      <alignment horizontal="left"/>
    </xf>
    <xf numFmtId="9" fontId="10" fillId="0" borderId="0" xfId="0" applyNumberFormat="1" applyFont="1" applyAlignment="1">
      <alignment horizontal="left"/>
    </xf>
    <xf numFmtId="0" fontId="10" fillId="0" borderId="6" xfId="0" applyFont="1" applyBorder="1" applyAlignment="1">
      <alignment horizontal="left"/>
    </xf>
    <xf numFmtId="9" fontId="10" fillId="0" borderId="13" xfId="3" applyFont="1" applyBorder="1" applyAlignment="1">
      <alignment horizontal="left"/>
    </xf>
    <xf numFmtId="9" fontId="10" fillId="0" borderId="7" xfId="3" applyFont="1" applyBorder="1" applyAlignment="1">
      <alignment horizontal="left"/>
    </xf>
    <xf numFmtId="0" fontId="10" fillId="0" borderId="0" xfId="0" applyFont="1" applyAlignment="1">
      <alignment horizontal="center"/>
    </xf>
    <xf numFmtId="164" fontId="26" fillId="0" borderId="0" xfId="0" applyNumberFormat="1" applyFont="1" applyAlignment="1">
      <alignment horizontal="center"/>
    </xf>
    <xf numFmtId="0" fontId="15" fillId="0" borderId="0" xfId="0" applyFont="1" applyAlignment="1">
      <alignment horizontal="center"/>
    </xf>
    <xf numFmtId="164" fontId="10" fillId="0" borderId="5" xfId="0" applyNumberFormat="1" applyFont="1" applyBorder="1" applyAlignment="1">
      <alignment horizontal="left"/>
    </xf>
    <xf numFmtId="164" fontId="10" fillId="0" borderId="0" xfId="0" applyNumberFormat="1" applyFont="1" applyAlignment="1">
      <alignment horizontal="left"/>
    </xf>
    <xf numFmtId="164" fontId="12" fillId="0" borderId="5" xfId="0" applyNumberFormat="1" applyFont="1" applyBorder="1" applyAlignment="1">
      <alignment horizontal="left"/>
    </xf>
    <xf numFmtId="164" fontId="12" fillId="0" borderId="0" xfId="0" applyNumberFormat="1" applyFont="1" applyAlignment="1">
      <alignment horizontal="left"/>
    </xf>
  </cellXfs>
  <cellStyles count="4">
    <cellStyle name="Comma" xfId="1" builtinId="3"/>
    <cellStyle name="Currency" xfId="2" builtinId="4"/>
    <cellStyle name="Normal" xfId="0" builtinId="0"/>
    <cellStyle name="Percent" xfId="3" builtinId="5"/>
  </cellStyles>
  <dxfs count="18">
    <dxf>
      <font>
        <color rgb="FF9C0006"/>
      </font>
    </dxf>
    <dxf>
      <font>
        <color rgb="FF9C0006"/>
      </font>
    </dxf>
    <dxf>
      <font>
        <color rgb="FF9C0006"/>
      </font>
    </dxf>
    <dxf>
      <font>
        <color rgb="FF9C0006"/>
      </font>
    </dxf>
    <dxf>
      <font>
        <color rgb="FF9C0006"/>
      </font>
    </dxf>
    <dxf>
      <font>
        <condense val="0"/>
        <extend val="0"/>
        <color rgb="FF9C0006"/>
      </font>
    </dxf>
    <dxf>
      <font>
        <condense val="0"/>
        <extend val="0"/>
        <color rgb="FF9C0006"/>
      </font>
    </dxf>
    <dxf>
      <font>
        <color rgb="FF9C0006"/>
      </font>
    </dxf>
    <dxf>
      <font>
        <color theme="5"/>
      </font>
      <fill>
        <patternFill>
          <bgColor rgb="FFFFFF00"/>
        </patternFill>
      </fill>
    </dxf>
    <dxf>
      <font>
        <color theme="5"/>
      </font>
      <fill>
        <patternFill>
          <bgColor rgb="FFFFFF00"/>
        </patternFill>
      </fill>
    </dxf>
    <dxf>
      <font>
        <color rgb="FF9C0006"/>
      </font>
    </dxf>
    <dxf>
      <font>
        <color rgb="FF9C0006"/>
      </font>
    </dxf>
    <dxf>
      <font>
        <color rgb="FF9C0006"/>
      </font>
    </dxf>
    <dxf>
      <font>
        <color rgb="FF9C0006"/>
      </font>
    </dxf>
    <dxf>
      <font>
        <condense val="0"/>
        <extend val="0"/>
        <color rgb="FF9C0006"/>
      </font>
    </dxf>
    <dxf>
      <font>
        <color theme="5"/>
      </font>
      <fill>
        <patternFill>
          <bgColor rgb="FFFFFF00"/>
        </patternFill>
      </fill>
    </dxf>
    <dxf>
      <font>
        <color theme="5"/>
      </font>
      <fill>
        <patternFill>
          <bgColor rgb="FFFFFF00"/>
        </patternFill>
      </fill>
    </dxf>
    <dxf>
      <font>
        <color theme="5"/>
      </font>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Questionnaire '!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Budget!D5"/></Relationships>
</file>

<file path=xl/drawings/drawing1.xml><?xml version="1.0" encoding="utf-8"?>
<xdr:wsDr xmlns:xdr="http://schemas.openxmlformats.org/drawingml/2006/spreadsheetDrawing" xmlns:a="http://schemas.openxmlformats.org/drawingml/2006/main">
  <xdr:twoCellAnchor>
    <xdr:from>
      <xdr:col>0</xdr:col>
      <xdr:colOff>101600</xdr:colOff>
      <xdr:row>2</xdr:row>
      <xdr:rowOff>123825</xdr:rowOff>
    </xdr:from>
    <xdr:to>
      <xdr:col>7</xdr:col>
      <xdr:colOff>700024</xdr:colOff>
      <xdr:row>9</xdr:row>
      <xdr:rowOff>127004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1600" y="495300"/>
          <a:ext cx="7964424" cy="1346200"/>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u="sng"/>
            <a:t>Introduction</a:t>
          </a:r>
          <a:r>
            <a:rPr lang="en-US" sz="1200" b="1" u="sng" baseline="0"/>
            <a:t> </a:t>
          </a:r>
          <a:endParaRPr lang="en-US" sz="1400" baseline="0"/>
        </a:p>
        <a:p>
          <a:pPr algn="l"/>
          <a:r>
            <a:rPr lang="en-US" sz="1000" baseline="0"/>
            <a:t>This worksheet is designed to model the cash flows for an existing small-scale Florida hard clam culture operation.  The worsheet will generate an average annual budget based upon user input that captures the fixed and variable costs, net returns, cost per clam, and breakeven survival rate.  Some of the cells have been protected to preserve the formatting</a:t>
          </a:r>
          <a:r>
            <a:rPr lang="en-US" sz="1000" b="1" baseline="0"/>
            <a:t>.  Those cells which can be modified are highlighted in </a:t>
          </a:r>
          <a:r>
            <a:rPr lang="en-US" sz="1000" b="1" baseline="0">
              <a:solidFill>
                <a:schemeClr val="accent6">
                  <a:lumMod val="75000"/>
                </a:schemeClr>
              </a:solidFill>
            </a:rPr>
            <a:t>orange</a:t>
          </a:r>
          <a:r>
            <a:rPr lang="en-US" sz="1000" baseline="0"/>
            <a:t>.  These cells are blank and need to be filled in by the user for the budget to work.  </a:t>
          </a:r>
          <a:r>
            <a:rPr lang="en-US" sz="1000" b="0" u="none" baseline="0"/>
            <a:t>The tabs marked "Cash Cost Sensitivities" and "Total Cost Sensitivities"  are sensitivity analyses that automatically calculate how changes in seed prices, survival rates, market prices, and size distributions affect the budget.  The buttons at the bottom of the first three sheets will bring you through the directions and to the budget.  Feel free to return to any of the individual sheets by clicking on the tabs at the bottom of the window.  </a:t>
          </a:r>
        </a:p>
        <a:p>
          <a:pPr algn="l"/>
          <a:endParaRPr lang="en-US" sz="1200" baseline="0"/>
        </a:p>
        <a:p>
          <a:pPr algn="l"/>
          <a:endParaRPr lang="en-US" sz="1200" baseline="0"/>
        </a:p>
      </xdr:txBody>
    </xdr:sp>
    <xdr:clientData/>
  </xdr:twoCellAnchor>
  <xdr:twoCellAnchor>
    <xdr:from>
      <xdr:col>0</xdr:col>
      <xdr:colOff>93980</xdr:colOff>
      <xdr:row>0</xdr:row>
      <xdr:rowOff>76200</xdr:rowOff>
    </xdr:from>
    <xdr:to>
      <xdr:col>7</xdr:col>
      <xdr:colOff>703580</xdr:colOff>
      <xdr:row>2</xdr:row>
      <xdr:rowOff>60309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3980" y="76200"/>
          <a:ext cx="8006080" cy="360680"/>
        </a:xfrm>
        <a:prstGeom prst="rect">
          <a:avLst/>
        </a:prstGeom>
        <a:solidFill>
          <a:schemeClr val="bg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Budget for an Existing Florida Hard Clam Culture Operation</a:t>
          </a:r>
        </a:p>
      </xdr:txBody>
    </xdr:sp>
    <xdr:clientData/>
  </xdr:twoCellAnchor>
  <xdr:twoCellAnchor>
    <xdr:from>
      <xdr:col>0</xdr:col>
      <xdr:colOff>101600</xdr:colOff>
      <xdr:row>9</xdr:row>
      <xdr:rowOff>101600</xdr:rowOff>
    </xdr:from>
    <xdr:to>
      <xdr:col>7</xdr:col>
      <xdr:colOff>698500</xdr:colOff>
      <xdr:row>31</xdr:row>
      <xdr:rowOff>106680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1600" y="1884680"/>
          <a:ext cx="7957820" cy="4363720"/>
        </a:xfrm>
        <a:prstGeom prst="rect">
          <a:avLst/>
        </a:prstGeom>
        <a:solidFill>
          <a:schemeClr val="accent1">
            <a:lumMod val="40000"/>
            <a:lumOff val="6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u="sng"/>
            <a:t>Worksheet Assumptions</a:t>
          </a:r>
          <a:r>
            <a:rPr lang="en-US" sz="1200" b="1" u="sng" baseline="0"/>
            <a:t> </a:t>
          </a:r>
          <a:endParaRPr lang="en-US" sz="1400"/>
        </a:p>
        <a:p>
          <a:r>
            <a:rPr lang="en-US" sz="1000"/>
            <a:t>As the worksheet models an existing clam operation, the program is built with the following assumptions:</a:t>
          </a:r>
        </a:p>
        <a:p>
          <a:r>
            <a:rPr lang="en-US" sz="1000" b="1"/>
            <a:t>Production</a:t>
          </a:r>
          <a:r>
            <a:rPr lang="en-US" sz="1000"/>
            <a:t> :</a:t>
          </a:r>
          <a:r>
            <a:rPr lang="en-US" sz="1000" baseline="0"/>
            <a:t> </a:t>
          </a:r>
        </a:p>
        <a:p>
          <a:pPr marL="171450" indent="-171450">
            <a:buFont typeface="Arial"/>
            <a:buChar char="•"/>
          </a:pPr>
          <a:r>
            <a:rPr lang="en-US" sz="1000"/>
            <a:t>Existing hard clam aquaculture</a:t>
          </a:r>
          <a:r>
            <a:rPr lang="en-US" sz="1000" baseline="0"/>
            <a:t> operation in Florida with a minimum of five (5) years of farming experience.</a:t>
          </a:r>
        </a:p>
        <a:p>
          <a:pPr marL="171450" indent="-171450">
            <a:buFont typeface="Arial"/>
            <a:buChar char="•"/>
          </a:pPr>
          <a:r>
            <a:rPr lang="en-US" sz="1000" baseline="0"/>
            <a:t>Maximum 2-year growout period, which combines both field nursery and growout phases.</a:t>
          </a:r>
        </a:p>
        <a:p>
          <a:pPr marL="171450" indent="-171450">
            <a:buFont typeface="Arial"/>
            <a:buChar char="•"/>
          </a:pPr>
          <a:r>
            <a:rPr lang="en-US" sz="1000" baseline="0"/>
            <a:t>Nursery phase is ~3-6 months.</a:t>
          </a:r>
        </a:p>
        <a:p>
          <a:pPr marL="171450" indent="-171450">
            <a:buFont typeface="Arial"/>
            <a:buChar char="•"/>
          </a:pPr>
          <a:r>
            <a:rPr lang="en-US" sz="1000" baseline="0"/>
            <a:t>Growout phase is ~12 to 18 months.</a:t>
          </a:r>
        </a:p>
        <a:p>
          <a:pPr marL="171450" indent="-171450">
            <a:buFont typeface="Arial"/>
            <a:buChar char="•"/>
          </a:pPr>
          <a:r>
            <a:rPr lang="en-US" sz="1000" baseline="0"/>
            <a:t>Harvest period is extended as dictacted by demand, environmental conditions, growth, etc.</a:t>
          </a:r>
        </a:p>
        <a:p>
          <a:pPr marL="0" indent="0">
            <a:buFontTx/>
            <a:buNone/>
          </a:pPr>
          <a:endParaRPr lang="en-US" sz="1000" baseline="0"/>
        </a:p>
        <a:p>
          <a:pPr marL="0" indent="0">
            <a:buFontTx/>
            <a:buNone/>
          </a:pPr>
          <a:r>
            <a:rPr lang="en-US" sz="1000" b="1" baseline="0"/>
            <a:t>Financial</a:t>
          </a:r>
          <a:r>
            <a:rPr lang="en-US" sz="1000" baseline="0"/>
            <a:t>:</a:t>
          </a:r>
        </a:p>
        <a:p>
          <a:pPr marL="171450" indent="-171450">
            <a:buFont typeface="Arial"/>
            <a:buChar char="•"/>
          </a:pPr>
          <a:r>
            <a:rPr lang="en-US" sz="1000" baseline="0"/>
            <a:t>All capital costs, asset replacement costs, and operating costs are owner financed.  No borrowed capital.</a:t>
          </a:r>
        </a:p>
        <a:p>
          <a:pPr marL="171450" indent="-171450">
            <a:buFont typeface="Arial"/>
            <a:buChar char="•"/>
          </a:pPr>
          <a:r>
            <a:rPr lang="en-US" sz="1000" baseline="0"/>
            <a:t>Capital assets (such as truck, boat, motor) are already purchased and in use by operator.  Depreciation is computed using a straight-line method with zero salvage value.</a:t>
          </a:r>
        </a:p>
        <a:p>
          <a:pPr marL="171450" indent="-171450">
            <a:buFont typeface="Arial"/>
            <a:buChar char="•"/>
          </a:pPr>
          <a:r>
            <a:rPr lang="en-US" sz="1000" baseline="0"/>
            <a:t>Contract services or wages to assist in farming activities are required each year.</a:t>
          </a:r>
        </a:p>
        <a:p>
          <a:pPr marL="171450" indent="-171450">
            <a:buFont typeface="Arial"/>
            <a:buChar char="•"/>
          </a:pPr>
          <a:r>
            <a:rPr lang="en-US" sz="1000" baseline="0"/>
            <a:t>Grower replaces a percentage of nursery bags per year and cleans/repairs the remaining bags. For instance, if a grower estimates that nursery bags last 4 years then 25% of bags are replaced every year and 75% are cleaned/repaired.</a:t>
          </a:r>
        </a:p>
        <a:p>
          <a:pPr marL="171450" marR="0" lvl="0" indent="-171450" defTabSz="914400" eaLnBrk="1" fontAlgn="auto" latinLnBrk="0" hangingPunct="1">
            <a:lnSpc>
              <a:spcPct val="100000"/>
            </a:lnSpc>
            <a:spcBef>
              <a:spcPts val="0"/>
            </a:spcBef>
            <a:spcAft>
              <a:spcPts val="0"/>
            </a:spcAft>
            <a:buClrTx/>
            <a:buSzTx/>
            <a:buFont typeface="Arial"/>
            <a:buChar char="•"/>
            <a:tabLst/>
            <a:defRPr/>
          </a:pPr>
          <a:r>
            <a:rPr lang="en-US" sz="1000" baseline="0"/>
            <a:t>Grower </a:t>
          </a:r>
          <a:r>
            <a:rPr lang="en-US" sz="1000" baseline="0">
              <a:solidFill>
                <a:schemeClr val="dk1"/>
              </a:solidFill>
              <a:effectLst/>
              <a:latin typeface="+mn-lt"/>
              <a:ea typeface="+mn-ea"/>
              <a:cs typeface="+mn-cs"/>
            </a:rPr>
            <a:t>replaces a percentage of grow out bags per year and cleans/repairs the remaining bags. For instance, if a grower estimates that grow out bags last 10 years then 10% of bags are replaced every year and 90% are cleaned/repaired.</a:t>
          </a:r>
          <a:endParaRPr lang="en-US" sz="1000">
            <a:effectLst/>
          </a:endParaRPr>
        </a:p>
        <a:p>
          <a:pPr marL="171450" indent="-171450">
            <a:buFont typeface="Arial"/>
            <a:buChar char="•"/>
          </a:pPr>
          <a:r>
            <a:rPr lang="en-US" sz="1000" baseline="0"/>
            <a:t>Most variable costs, overhead expenses, and capital asset purchases are inflated at a 3% annual rate.</a:t>
          </a:r>
        </a:p>
        <a:p>
          <a:pPr marL="171450" indent="-171450">
            <a:buFont typeface="Arial"/>
            <a:buChar char="•"/>
          </a:pPr>
          <a:r>
            <a:rPr lang="en-US" sz="1000" baseline="0"/>
            <a:t>Income and self-employment taxes are not included.</a:t>
          </a:r>
        </a:p>
        <a:p>
          <a:pPr marL="171450" indent="-171450">
            <a:buFont typeface="Arial"/>
            <a:buChar char="•"/>
          </a:pPr>
          <a:r>
            <a:rPr lang="en-US" sz="1000" baseline="0"/>
            <a:t>Capital assets are automatically reinvested if the asset's years of life is less than the 5-year planning horizon.</a:t>
          </a:r>
        </a:p>
        <a:p>
          <a:pPr marL="171450" indent="-171450">
            <a:buFont typeface="Arial"/>
            <a:buChar char="•"/>
          </a:pPr>
          <a:r>
            <a:rPr lang="en-US" sz="1000" baseline="0"/>
            <a:t>Withdrawals from the business income for owner "salary" or family living expenses are not included.</a:t>
          </a:r>
        </a:p>
        <a:p>
          <a:pPr marL="171450" indent="-171450">
            <a:buFont typeface="Arial"/>
            <a:buChar char="•"/>
          </a:pPr>
          <a:r>
            <a:rPr lang="en-US" sz="1000" baseline="0"/>
            <a:t>Owner/family labor cost is not included. </a:t>
          </a:r>
        </a:p>
        <a:p>
          <a:pPr marL="171450" indent="-171450">
            <a:buFont typeface="Arial"/>
            <a:buChar char="•"/>
          </a:pPr>
          <a:r>
            <a:rPr lang="en-US" sz="1000" baseline="0"/>
            <a:t>All net returns are pre-tax to the owner/operator's capital, management labor, and risk.</a:t>
          </a:r>
        </a:p>
        <a:p>
          <a:pPr marL="171450" indent="-171450">
            <a:buFont typeface="Arial"/>
            <a:buChar char="•"/>
          </a:pPr>
          <a:endParaRPr lang="en-US" sz="1000" baseline="0"/>
        </a:p>
      </xdr:txBody>
    </xdr:sp>
    <xdr:clientData/>
  </xdr:twoCellAnchor>
  <xdr:twoCellAnchor>
    <xdr:from>
      <xdr:col>2</xdr:col>
      <xdr:colOff>34925</xdr:colOff>
      <xdr:row>32</xdr:row>
      <xdr:rowOff>59690</xdr:rowOff>
    </xdr:from>
    <xdr:to>
      <xdr:col>5</xdr:col>
      <xdr:colOff>339725</xdr:colOff>
      <xdr:row>34</xdr:row>
      <xdr:rowOff>76200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2587625" y="6399530"/>
          <a:ext cx="2933700" cy="412750"/>
        </a:xfrm>
        <a:prstGeom prst="rect">
          <a:avLst/>
        </a:prstGeom>
        <a:pattFill prst="ltUpDiag">
          <a:fgClr>
            <a:schemeClr val="bg1">
              <a:lumMod val="85000"/>
            </a:schemeClr>
          </a:fgClr>
          <a:bgClr>
            <a:schemeClr val="accent6"/>
          </a:bgClr>
        </a:patt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t>Click</a:t>
          </a:r>
          <a:r>
            <a:rPr lang="en-US" sz="1400" b="1" u="none" baseline="0"/>
            <a:t> Here to Begin</a:t>
          </a:r>
          <a:endParaRPr lang="en-US" sz="1400" b="1"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76200</xdr:rowOff>
    </xdr:from>
    <xdr:to>
      <xdr:col>3</xdr:col>
      <xdr:colOff>558800</xdr:colOff>
      <xdr:row>22</xdr:row>
      <xdr:rowOff>187282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14400" y="6311900"/>
          <a:ext cx="4292600" cy="673100"/>
        </a:xfrm>
        <a:prstGeom prst="rect">
          <a:avLst/>
        </a:prstGeom>
        <a:solidFill>
          <a:schemeClr val="tx2">
            <a:lumMod val="20000"/>
            <a:lumOff val="8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t>Your</a:t>
          </a:r>
          <a:r>
            <a:rPr lang="en-US" sz="1200" baseline="0"/>
            <a:t> responses will be used to more accurately predict a five year budget as well as for calculating depreciation costs.  Only enter a four digit year or the words "Yes"/"No" into the response boxes.  </a:t>
          </a:r>
          <a:endParaRPr lang="en-US" sz="1200"/>
        </a:p>
      </xdr:txBody>
    </xdr:sp>
    <xdr:clientData/>
  </xdr:twoCellAnchor>
  <xdr:twoCellAnchor>
    <xdr:from>
      <xdr:col>1</xdr:col>
      <xdr:colOff>317500</xdr:colOff>
      <xdr:row>23</xdr:row>
      <xdr:rowOff>76200</xdr:rowOff>
    </xdr:from>
    <xdr:to>
      <xdr:col>2</xdr:col>
      <xdr:colOff>495300</xdr:colOff>
      <xdr:row>26</xdr:row>
      <xdr:rowOff>60378</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231900" y="7442200"/>
          <a:ext cx="3340100" cy="546100"/>
        </a:xfrm>
        <a:prstGeom prst="rect">
          <a:avLst/>
        </a:prstGeom>
        <a:pattFill prst="ltUpDiag">
          <a:fgClr>
            <a:schemeClr val="bg1">
              <a:lumMod val="85000"/>
            </a:schemeClr>
          </a:fgClr>
          <a:bgClr>
            <a:schemeClr val="accent6">
              <a:lumMod val="60000"/>
              <a:lumOff val="40000"/>
            </a:schemeClr>
          </a:bgClr>
        </a:pattFill>
        <a:ln w="2857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en-US" sz="1400" b="1"/>
            <a:t>Click here to Continue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48260</xdr:rowOff>
    </xdr:from>
    <xdr:to>
      <xdr:col>9</xdr:col>
      <xdr:colOff>721360</xdr:colOff>
      <xdr:row>26</xdr:row>
      <xdr:rowOff>50183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52400" y="48260"/>
          <a:ext cx="8112760" cy="5153043"/>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Instructions</a:t>
          </a:r>
          <a:r>
            <a:rPr lang="en-US" sz="1600" b="1" u="sng" baseline="0"/>
            <a:t> For Entering User-Specific Data</a:t>
          </a:r>
        </a:p>
        <a:p>
          <a:pPr algn="l" defTabSz="137160"/>
          <a:r>
            <a:rPr lang="en-US" sz="1000" b="1" baseline="0"/>
            <a:t>1.  Read the following guidelines </a:t>
          </a:r>
        </a:p>
        <a:p>
          <a:pPr algn="l" defTabSz="137160"/>
          <a:r>
            <a:rPr lang="en-US" sz="1000" b="1" baseline="0"/>
            <a:t>    a.  Modify Production and Financial Assumptions at the top of the budget worksheet.</a:t>
          </a:r>
        </a:p>
        <a:p>
          <a:pPr algn="l" defTabSz="137160"/>
          <a:r>
            <a:rPr lang="en-US" sz="1000" baseline="0"/>
            <a:t>    -Survival rates and harvest size distribution </a:t>
          </a:r>
          <a:r>
            <a:rPr lang="en-US" sz="1000" b="1" baseline="0"/>
            <a:t>must</a:t>
          </a:r>
          <a:r>
            <a:rPr lang="en-US" sz="1000" baseline="0"/>
            <a:t> be in increments of 5% (i.e. 5%, 10%, 15%.... 100%). </a:t>
          </a:r>
        </a:p>
        <a:p>
          <a:pPr algn="l" defTabSz="137160"/>
          <a:r>
            <a:rPr lang="en-US" sz="1000" baseline="0"/>
            <a:t>    -Overall Survival Rate is calculated automatically by multiplying nursery survival rate by growout surival rate.</a:t>
          </a:r>
        </a:p>
        <a:p>
          <a:pPr algn="l" defTabSz="137160"/>
          <a:r>
            <a:rPr lang="en-US" sz="1000" baseline="0"/>
            <a:t>    -Number of bags required is automatically calculated and can NOT be changed by the user.  It is calculated by dividing the total number                                               	of clams in each production phase by the stocking density in each phase.</a:t>
          </a:r>
        </a:p>
        <a:p>
          <a:pPr algn="l" defTabSz="137160"/>
          <a:endParaRPr lang="en-US" sz="1000" baseline="0"/>
        </a:p>
        <a:p>
          <a:pPr algn="l" defTabSz="137160"/>
          <a:r>
            <a:rPr lang="en-US" sz="1000" b="1" baseline="0"/>
            <a:t>    b.  Modify Capital Asset Costs, Annual Variable Costs, and Annual Overhead Costs</a:t>
          </a:r>
        </a:p>
        <a:p>
          <a:pPr algn="l" defTabSz="137160"/>
          <a:r>
            <a:rPr lang="en-US" sz="1000" baseline="0"/>
            <a:t>    -Truck and boat will incur depreciation costs if the owner has owned the item for a period shorter than the estimated usable life of that item.</a:t>
          </a:r>
        </a:p>
        <a:p>
          <a:pPr marL="0" marR="0" indent="0" algn="l" defTabSz="137160" eaLnBrk="1" fontAlgn="auto" latinLnBrk="0" hangingPunct="1">
            <a:lnSpc>
              <a:spcPct val="100000"/>
            </a:lnSpc>
            <a:spcBef>
              <a:spcPts val="0"/>
            </a:spcBef>
            <a:spcAft>
              <a:spcPts val="0"/>
            </a:spcAft>
            <a:buClrTx/>
            <a:buSzTx/>
            <a:buFontTx/>
            <a:buNone/>
            <a:tabLst/>
            <a:defRPr/>
          </a:pPr>
          <a:r>
            <a:rPr lang="en-US" sz="1000" baseline="0"/>
            <a:t>    </a:t>
          </a:r>
          <a:r>
            <a:rPr lang="en-US" sz="1100" baseline="0">
              <a:solidFill>
                <a:schemeClr val="dk1"/>
              </a:solidFill>
              <a:effectLst/>
              <a:latin typeface="+mn-lt"/>
              <a:ea typeface="+mn-ea"/>
              <a:cs typeface="+mn-cs"/>
            </a:rPr>
            <a:t>-If the truck or boat has been owned for a period longer than the estimated usable life, then the item will not incur depreciation costs.</a:t>
          </a:r>
          <a:endParaRPr lang="en-US" sz="1000" baseline="0"/>
        </a:p>
        <a:p>
          <a:pPr algn="l" defTabSz="137160"/>
          <a:r>
            <a:rPr lang="en-US" sz="1000" baseline="0"/>
            <a:t>    -The usable life of trucks, boats, motors, and other items are estimated in the budget by the user. </a:t>
          </a:r>
        </a:p>
        <a:p>
          <a:pPr algn="l" defTabSz="137160"/>
          <a:r>
            <a:rPr lang="en-US" sz="1000" baseline="0"/>
            <a:t>    -Nursery and growout bag costs include only the bag costs and do not include cover netting or net coating, stakes, cable ties, etc.  These costs are                              	included under Annual Production costs as "Bag Maintinence."  The item labeled "Bag Maintinence" applies to the portion of bags that are not 	replaced each year.  It is precalculated as the percentage of bags not being replaced. For example, if 10% of growout bags are replaced each year then  	90% of grow out bags are assumed to need maintenance.  </a:t>
          </a:r>
        </a:p>
        <a:p>
          <a:pPr algn="l" defTabSz="137160"/>
          <a:r>
            <a:rPr lang="en-US" sz="1000" baseline="0"/>
            <a:t>    -Nursery and Growout bags are considered capital assets but require annual costs to replace a portion of the gear (see assumptions in the 	introduction).  The number of bags replaced each year is labeled "# Purchased in Year 1" and is calculated by multiplying the number of bags required 	for each production phase by the percentage replaced each year (25%/yr for nursery phase, 10%/yr for growout phase).  The costs for the relacement 	are found under "Annual Replacement" .  These values can NOT be changed by the user.</a:t>
          </a:r>
        </a:p>
        <a:p>
          <a:pPr algn="l" defTabSz="137160"/>
          <a:r>
            <a:rPr lang="en-US" sz="1000" baseline="0"/>
            <a:t>    -The item labeled "Cover Net, Net Coating, Stakes, Cable Ties" applies to all bags used in the operation.  It is precalculated as the sum of the nursery 	bags and growout bags found in the production assumptions.</a:t>
          </a:r>
        </a:p>
        <a:p>
          <a:pPr algn="l" defTabSz="137160"/>
          <a:r>
            <a:rPr lang="en-US" sz="1000" baseline="0"/>
            <a:t>    -Variable Costs that do not have a value of "Units per Year" are represented under the column "Price per Unit or Cost".  This amount will be reflected in 	the  Average Annual Budget   </a:t>
          </a:r>
        </a:p>
        <a:p>
          <a:pPr algn="l" defTabSz="137160"/>
          <a:endParaRPr lang="en-US" sz="1000" baseline="0"/>
        </a:p>
        <a:p>
          <a:pPr algn="l" defTabSz="137160"/>
          <a:r>
            <a:rPr lang="en-US" sz="1000" b="1" baseline="0"/>
            <a:t>    c.  Review Annual Cash Flows and Average Annual Budget </a:t>
          </a:r>
        </a:p>
        <a:p>
          <a:pPr algn="l" defTabSz="137160"/>
          <a:r>
            <a:rPr lang="en-US" sz="1000" baseline="0"/>
            <a:t>    -The user may enter a value for beginning cash in the Annual Cash Flow Table.  Otherwise, beginning cash will be $0.</a:t>
          </a:r>
        </a:p>
        <a:p>
          <a:pPr algn="l" defTabSz="137160"/>
          <a:endParaRPr lang="en-US" sz="1000" baseline="0"/>
        </a:p>
        <a:p>
          <a:pPr algn="l" defTabSz="137160"/>
          <a:r>
            <a:rPr lang="en-US" sz="1000" b="1" baseline="0"/>
            <a:t>    d.  Review Sensitivity Analyses by clicking on the tabs marked "Cash Cost Sensitivities" and "Total Cost Sensitivities"</a:t>
          </a:r>
        </a:p>
        <a:p>
          <a:pPr algn="l" defTabSz="137160"/>
          <a:r>
            <a:rPr lang="en-US" sz="1000" b="0" u="none" baseline="0"/>
            <a:t>    -The calculation of cash costs do not include depreciation.  Total Costs do take into account depreciation or "non-cash" costs.</a:t>
          </a:r>
        </a:p>
        <a:p>
          <a:pPr algn="l" defTabSz="137160"/>
          <a:r>
            <a:rPr lang="en-US" sz="1000" b="0" u="none" baseline="0"/>
            <a:t>  </a:t>
          </a:r>
        </a:p>
        <a:p>
          <a:pPr algn="l" defTabSz="137160"/>
          <a:r>
            <a:rPr lang="en-US" sz="1000" b="1" u="none" baseline="0"/>
            <a:t>2.  Click on the START Button below or  the "Budget" tab on the bottom of this worksheet.</a:t>
          </a:r>
        </a:p>
        <a:p>
          <a:pPr algn="l"/>
          <a:endParaRPr lang="en-US" sz="1000" b="0" u="none" baseline="0"/>
        </a:p>
      </xdr:txBody>
    </xdr:sp>
    <xdr:clientData/>
  </xdr:twoCellAnchor>
  <xdr:twoCellAnchor>
    <xdr:from>
      <xdr:col>3</xdr:col>
      <xdr:colOff>168275</xdr:colOff>
      <xdr:row>26</xdr:row>
      <xdr:rowOff>142875</xdr:rowOff>
    </xdr:from>
    <xdr:to>
      <xdr:col>6</xdr:col>
      <xdr:colOff>158750</xdr:colOff>
      <xdr:row>29</xdr:row>
      <xdr:rowOff>92064</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682875" y="5086350"/>
          <a:ext cx="2505075" cy="530225"/>
        </a:xfrm>
        <a:prstGeom prst="rect">
          <a:avLst/>
        </a:prstGeom>
        <a:pattFill prst="ltUpDiag">
          <a:fgClr>
            <a:schemeClr val="bg1">
              <a:lumMod val="85000"/>
            </a:schemeClr>
          </a:fgClr>
          <a:bgClr>
            <a:schemeClr val="accent6"/>
          </a:bgClr>
        </a:patt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u="sng"/>
            <a:t>START</a:t>
          </a:r>
          <a:r>
            <a:rPr lang="en-US" sz="1800" b="1" u="sng" baseline="0"/>
            <a:t> </a:t>
          </a:r>
          <a:endParaRPr lang="en-US" sz="18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50</xdr:row>
      <xdr:rowOff>85725</xdr:rowOff>
    </xdr:from>
    <xdr:to>
      <xdr:col>2</xdr:col>
      <xdr:colOff>1143000</xdr:colOff>
      <xdr:row>52</xdr:row>
      <xdr:rowOff>136525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800" y="10820400"/>
          <a:ext cx="3543300"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r>
            <a:rPr lang="en-US" sz="1100" baseline="0"/>
            <a:t> </a:t>
          </a:r>
          <a:r>
            <a:rPr lang="en-US" sz="1000" baseline="0"/>
            <a:t>Equipment Maintinence refers to truck, boat, and motor.  The base assumption is 5% of the initial costs of these 3 items</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125" zoomScaleNormal="125" workbookViewId="0">
      <selection activeCell="I26" sqref="I26"/>
    </sheetView>
  </sheetViews>
  <sheetFormatPr defaultColWidth="11" defaultRowHeight="15.5" x14ac:dyDescent="0.35"/>
  <cols>
    <col min="1" max="1" width="15.08203125" bestFit="1" customWidth="1"/>
    <col min="2" max="2" width="18.33203125" bestFit="1" customWidth="1"/>
    <col min="5" max="5" width="12.5" bestFit="1" customWidth="1"/>
    <col min="6" max="6" width="17.58203125" bestFit="1" customWidth="1"/>
  </cols>
  <sheetData/>
  <sheetProtection algorithmName="SHA-512" hashValue="jVYVTMcIg/gEBty+JzeNnDVYdNeJIuI84L/Dc79q6yutt3hB8LX+2t3qj9kZBqAHO96pt/znqnmvHyJGe9k68w==" saltValue="flDUos9TEtqE8pzM8LjTeg==" spinCount="100000" sheet="1" objects="1" scenarios="1"/>
  <phoneticPr fontId="5" type="noConversion"/>
  <pageMargins left="0.7" right="0.7" top="0.75" bottom="0.75" header="0.3" footer="0.3"/>
  <pageSetup orientation="landscape"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27"/>
  <sheetViews>
    <sheetView topLeftCell="A45" workbookViewId="0">
      <selection activeCell="D79" sqref="D79"/>
    </sheetView>
  </sheetViews>
  <sheetFormatPr defaultColWidth="11" defaultRowHeight="15.5" x14ac:dyDescent="0.35"/>
  <sheetData>
    <row r="2" spans="2:11" x14ac:dyDescent="0.35">
      <c r="B2" s="1"/>
      <c r="C2" s="1"/>
      <c r="D2" s="1"/>
      <c r="E2" s="4"/>
      <c r="F2" s="1"/>
      <c r="G2" s="1"/>
      <c r="H2" s="1"/>
      <c r="I2" s="1"/>
      <c r="J2" s="1"/>
      <c r="K2" s="1"/>
    </row>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'Cash Cost Sensitivities (2)'!A34</f>
        <v>0.60000000000000009</v>
      </c>
      <c r="G13" s="1"/>
      <c r="H13" s="1"/>
      <c r="I13" s="1"/>
      <c r="J13" s="1"/>
      <c r="K13" s="1"/>
    </row>
    <row r="14" spans="2:11" x14ac:dyDescent="0.35">
      <c r="B14" s="1"/>
      <c r="C14" s="1"/>
      <c r="D14" s="332" t="s">
        <v>62</v>
      </c>
      <c r="E14" s="333"/>
      <c r="F14" s="54">
        <f>'Cash Cost Sensitivities (2)'!B34</f>
        <v>0.25</v>
      </c>
      <c r="G14" s="1"/>
      <c r="H14" s="1"/>
      <c r="I14" s="1"/>
      <c r="J14" s="1"/>
      <c r="K14" s="1"/>
    </row>
    <row r="15" spans="2:11" x14ac:dyDescent="0.35">
      <c r="B15" s="1"/>
      <c r="C15" s="1"/>
      <c r="D15" s="332" t="s">
        <v>63</v>
      </c>
      <c r="E15" s="333"/>
      <c r="F15" s="66">
        <f>'Cash Cost Sensitivities (2)'!C34</f>
        <v>0.15000000000000002</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$E$5</f>
        <v>0</v>
      </c>
      <c r="D40" s="61">
        <f>I5</f>
        <v>0.01</v>
      </c>
      <c r="E40" s="26">
        <f>C40*D40</f>
        <v>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19590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100024</v>
      </c>
      <c r="E61" s="35">
        <f>D68</f>
        <v>193404</v>
      </c>
      <c r="F61" s="35">
        <f>E68</f>
        <v>286124</v>
      </c>
      <c r="G61" s="35">
        <f>F68</f>
        <v>378162</v>
      </c>
      <c r="H61" s="1"/>
      <c r="I61" s="1"/>
      <c r="J61" s="1"/>
      <c r="K61" s="1"/>
    </row>
    <row r="62" spans="2:11" x14ac:dyDescent="0.35">
      <c r="B62" s="12" t="s">
        <v>24</v>
      </c>
      <c r="C62" s="34">
        <f>F90</f>
        <v>121800</v>
      </c>
      <c r="D62" s="34">
        <f>F90</f>
        <v>121800</v>
      </c>
      <c r="E62" s="34">
        <f>F90</f>
        <v>121800</v>
      </c>
      <c r="F62" s="34">
        <f>F90</f>
        <v>121800</v>
      </c>
      <c r="G62" s="34">
        <f>F90</f>
        <v>121800</v>
      </c>
      <c r="H62" s="1"/>
      <c r="I62" s="1"/>
      <c r="J62" s="1"/>
      <c r="K62" s="1"/>
    </row>
    <row r="63" spans="2:11" x14ac:dyDescent="0.35">
      <c r="B63" s="12" t="s">
        <v>25</v>
      </c>
      <c r="C63" s="34"/>
      <c r="D63" s="34"/>
      <c r="E63" s="34"/>
      <c r="F63" s="34"/>
      <c r="G63" s="34"/>
      <c r="H63" s="1"/>
      <c r="I63" s="1"/>
      <c r="J63" s="1"/>
      <c r="K63" s="1"/>
    </row>
    <row r="64" spans="2:11" x14ac:dyDescent="0.35">
      <c r="B64" s="12" t="s">
        <v>64</v>
      </c>
      <c r="C64" s="34">
        <f>E55</f>
        <v>19590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21776</v>
      </c>
      <c r="D66" s="34">
        <f>D64+D65</f>
        <v>28420</v>
      </c>
      <c r="E66" s="34">
        <f>E64+E65</f>
        <v>29080</v>
      </c>
      <c r="F66" s="34">
        <f>F64+F65</f>
        <v>29762</v>
      </c>
      <c r="G66" s="34">
        <f>G64+G65</f>
        <v>30462</v>
      </c>
      <c r="H66" s="1"/>
      <c r="I66" s="1"/>
      <c r="J66" s="1"/>
      <c r="K66" s="1"/>
    </row>
    <row r="67" spans="2:11" x14ac:dyDescent="0.35">
      <c r="B67" s="12" t="s">
        <v>26</v>
      </c>
      <c r="C67" s="34">
        <f>C62-C66</f>
        <v>100024</v>
      </c>
      <c r="D67" s="34">
        <f>D62-D66</f>
        <v>93380</v>
      </c>
      <c r="E67" s="34">
        <f>E62-E66</f>
        <v>92720</v>
      </c>
      <c r="F67" s="34">
        <f>F62-F66</f>
        <v>92038</v>
      </c>
      <c r="G67" s="34">
        <f>G62-G66</f>
        <v>91338</v>
      </c>
      <c r="H67" s="1"/>
      <c r="I67" s="1"/>
      <c r="J67" s="1"/>
      <c r="K67" s="1"/>
    </row>
    <row r="68" spans="2:11" x14ac:dyDescent="0.35">
      <c r="B68" s="12" t="s">
        <v>27</v>
      </c>
      <c r="C68" s="34">
        <f>C61+C67</f>
        <v>100024</v>
      </c>
      <c r="D68" s="34">
        <f>D61+D67</f>
        <v>193404</v>
      </c>
      <c r="E68" s="34">
        <f>E61+E67</f>
        <v>286124</v>
      </c>
      <c r="F68" s="34">
        <f>F61+F67</f>
        <v>378162</v>
      </c>
      <c r="G68" s="34">
        <f>G61+G67</f>
        <v>469500</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
        <v>0</v>
      </c>
      <c r="C72" s="30" t="s">
        <v>1</v>
      </c>
      <c r="D72" s="29" t="s">
        <v>2</v>
      </c>
      <c r="E72" s="29" t="s">
        <v>3</v>
      </c>
      <c r="F72" s="29" t="s">
        <v>4</v>
      </c>
      <c r="G72" s="29" t="s">
        <v>5</v>
      </c>
      <c r="H72" s="29" t="s">
        <v>6</v>
      </c>
      <c r="I72" s="29" t="s">
        <v>7</v>
      </c>
      <c r="J72" s="1"/>
      <c r="K72" s="1"/>
    </row>
    <row r="73" spans="2:11" x14ac:dyDescent="0.35">
      <c r="B73" s="21" t="s">
        <v>8</v>
      </c>
      <c r="C73" s="87">
        <f t="shared" ref="C73:C79" si="2">C22</f>
        <v>9</v>
      </c>
      <c r="D73" s="84">
        <v>4</v>
      </c>
      <c r="E73" s="22">
        <f>ROUND(F17*C73/D73,0)</f>
        <v>450</v>
      </c>
      <c r="F73" s="22">
        <f>ROUND((E73+E73*0.03),0)</f>
        <v>464</v>
      </c>
      <c r="G73" s="22">
        <f t="shared" ref="G73:I75" si="3">ROUND(F73+F73*0.03,0)</f>
        <v>478</v>
      </c>
      <c r="H73" s="22">
        <f t="shared" si="3"/>
        <v>492</v>
      </c>
      <c r="I73" s="22">
        <f t="shared" si="3"/>
        <v>507</v>
      </c>
      <c r="J73" s="1"/>
      <c r="K73" s="1"/>
    </row>
    <row r="74" spans="2:11" x14ac:dyDescent="0.35">
      <c r="B74" s="12" t="s">
        <v>9</v>
      </c>
      <c r="C74" s="87">
        <f t="shared" si="2"/>
        <v>8</v>
      </c>
      <c r="D74" s="85">
        <v>10</v>
      </c>
      <c r="E74" s="22">
        <f>ROUND(F18*C74/D74,0)</f>
        <v>1043</v>
      </c>
      <c r="F74" s="22">
        <f>ROUND((E74+E74*0.03),0)</f>
        <v>1074</v>
      </c>
      <c r="G74" s="22">
        <f t="shared" si="3"/>
        <v>1106</v>
      </c>
      <c r="H74" s="22">
        <f t="shared" si="3"/>
        <v>1139</v>
      </c>
      <c r="I74" s="22">
        <f t="shared" si="3"/>
        <v>1173</v>
      </c>
      <c r="J74" s="1"/>
      <c r="K74" s="1"/>
    </row>
    <row r="75" spans="2:11" x14ac:dyDescent="0.35">
      <c r="B75" s="12" t="s">
        <v>10</v>
      </c>
      <c r="C75" s="87">
        <f t="shared" si="2"/>
        <v>250</v>
      </c>
      <c r="D75" s="85">
        <v>3</v>
      </c>
      <c r="E75" s="20">
        <f>C75/D75</f>
        <v>83.333333333333329</v>
      </c>
      <c r="F75" s="20">
        <f>ROUND(E75+E75*0.03,0)</f>
        <v>86</v>
      </c>
      <c r="G75" s="20">
        <f t="shared" si="3"/>
        <v>89</v>
      </c>
      <c r="H75" s="20">
        <f t="shared" si="3"/>
        <v>92</v>
      </c>
      <c r="I75" s="20">
        <f t="shared" si="3"/>
        <v>95</v>
      </c>
      <c r="J75" s="1"/>
      <c r="K75" s="1"/>
    </row>
    <row r="76" spans="2:11" x14ac:dyDescent="0.35">
      <c r="B76" s="12" t="s">
        <v>11</v>
      </c>
      <c r="C76" s="87">
        <f t="shared" si="2"/>
        <v>25000</v>
      </c>
      <c r="D76" s="85">
        <v>7</v>
      </c>
      <c r="E76" s="20">
        <f>Budget!D73</f>
        <v>1250</v>
      </c>
      <c r="F76" s="20">
        <f>Budget!E73</f>
        <v>1288</v>
      </c>
      <c r="G76" s="20">
        <f>Budget!F73</f>
        <v>1326</v>
      </c>
      <c r="H76" s="20">
        <f>Budget!G73</f>
        <v>1366</v>
      </c>
      <c r="I76" s="20">
        <f>Budget!H73</f>
        <v>1407</v>
      </c>
      <c r="J76" s="1"/>
      <c r="K76" s="1"/>
    </row>
    <row r="77" spans="2:11" x14ac:dyDescent="0.35">
      <c r="B77" s="12" t="s">
        <v>69</v>
      </c>
      <c r="C77" s="87">
        <f t="shared" si="2"/>
        <v>35000</v>
      </c>
      <c r="D77" s="85">
        <v>10</v>
      </c>
      <c r="E77" s="20">
        <f>Budget!D74</f>
        <v>1750</v>
      </c>
      <c r="F77" s="20">
        <f>Budget!E74</f>
        <v>1803</v>
      </c>
      <c r="G77" s="20">
        <f>Budget!F74</f>
        <v>1857</v>
      </c>
      <c r="H77" s="20">
        <f>Budget!G74</f>
        <v>1912</v>
      </c>
      <c r="I77" s="20">
        <f>Budget!H74</f>
        <v>1970</v>
      </c>
      <c r="J77" s="1"/>
      <c r="K77" s="1"/>
    </row>
    <row r="78" spans="2:11" x14ac:dyDescent="0.35">
      <c r="B78" s="12" t="s">
        <v>70</v>
      </c>
      <c r="C78" s="87">
        <f t="shared" si="2"/>
        <v>10000</v>
      </c>
      <c r="D78" s="85">
        <v>3</v>
      </c>
      <c r="E78" s="20">
        <f>Budget!D75</f>
        <v>1000</v>
      </c>
      <c r="F78" s="20">
        <f>Budget!E75</f>
        <v>1030</v>
      </c>
      <c r="G78" s="20">
        <f>Budget!F75</f>
        <v>1061</v>
      </c>
      <c r="H78" s="20">
        <f>Budget!G75</f>
        <v>1093</v>
      </c>
      <c r="I78" s="20">
        <f>Budget!H75</f>
        <v>1126</v>
      </c>
      <c r="J78" s="1"/>
      <c r="K78" s="1"/>
    </row>
    <row r="79" spans="2:11" ht="44" thickBot="1" x14ac:dyDescent="0.4">
      <c r="B79" s="62" t="s">
        <v>71</v>
      </c>
      <c r="C79" s="80">
        <f t="shared" si="2"/>
        <v>1000</v>
      </c>
      <c r="D79" s="86">
        <v>5</v>
      </c>
      <c r="E79" s="24">
        <f>ROUND(C79/D79,0)</f>
        <v>200</v>
      </c>
      <c r="F79" s="24">
        <f>ROUND(E79+E79*0.03,0)</f>
        <v>206</v>
      </c>
      <c r="G79" s="24">
        <f>ROUND(F79+F79*0.03,0)</f>
        <v>212</v>
      </c>
      <c r="H79" s="24">
        <f>ROUND(G79+G79*0.03,0)</f>
        <v>218</v>
      </c>
      <c r="I79" s="24">
        <f>ROUND(H79+H79*0.03,0)</f>
        <v>225</v>
      </c>
      <c r="J79" s="1"/>
      <c r="K79" s="1"/>
    </row>
    <row r="80" spans="2:11" x14ac:dyDescent="0.35">
      <c r="B80" s="3" t="s">
        <v>45</v>
      </c>
      <c r="C80" s="4"/>
      <c r="D80" s="1"/>
      <c r="E80" s="11">
        <f>SUM(E73:E79)</f>
        <v>5776.333333333333</v>
      </c>
      <c r="F80" s="11">
        <f>SUM(F73:F79)</f>
        <v>5951</v>
      </c>
      <c r="G80" s="11">
        <f>SUM(G73:G79)</f>
        <v>6129</v>
      </c>
      <c r="H80" s="11">
        <f>SUM(H73:H79)</f>
        <v>6312</v>
      </c>
      <c r="I80" s="11">
        <f>SUM(I73:I79)</f>
        <v>6503</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630000</v>
      </c>
      <c r="E86" s="46">
        <f>I7</f>
        <v>0.13</v>
      </c>
      <c r="F86" s="7">
        <f>E86*D86</f>
        <v>81900</v>
      </c>
      <c r="G86" s="1"/>
      <c r="H86" s="1"/>
      <c r="I86" s="1"/>
      <c r="J86" s="1"/>
      <c r="K86" s="1"/>
    </row>
    <row r="87" spans="2:11" x14ac:dyDescent="0.35">
      <c r="B87" s="1" t="s">
        <v>35</v>
      </c>
      <c r="C87" s="1"/>
      <c r="D87" s="45">
        <f>F14*D90</f>
        <v>262499.99999999994</v>
      </c>
      <c r="E87" s="46">
        <f>I8</f>
        <v>0.11</v>
      </c>
      <c r="F87" s="7">
        <f>E87*D87</f>
        <v>28874.999999999993</v>
      </c>
      <c r="G87" s="1"/>
      <c r="H87" s="1"/>
      <c r="I87" s="1"/>
      <c r="J87" s="1"/>
      <c r="K87" s="1"/>
    </row>
    <row r="88" spans="2:11" x14ac:dyDescent="0.35">
      <c r="B88" s="1" t="s">
        <v>36</v>
      </c>
      <c r="C88" s="1"/>
      <c r="D88" s="45">
        <f>F15*D90</f>
        <v>157500</v>
      </c>
      <c r="E88" s="47">
        <f>I9</f>
        <v>7.0000000000000007E-2</v>
      </c>
      <c r="F88" s="9">
        <f>E88*D88</f>
        <v>11025.000000000002</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121800</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4">C50</f>
        <v>1</v>
      </c>
      <c r="E106" s="7">
        <f t="shared" si="4"/>
        <v>750</v>
      </c>
      <c r="F106" s="7">
        <f>E106*D106</f>
        <v>750</v>
      </c>
      <c r="G106" s="1"/>
      <c r="H106" s="1"/>
      <c r="I106" s="1"/>
      <c r="J106" s="1"/>
      <c r="K106" s="1"/>
    </row>
    <row r="107" spans="2:11" x14ac:dyDescent="0.35">
      <c r="B107" s="1" t="s">
        <v>112</v>
      </c>
      <c r="C107" s="1"/>
      <c r="D107" s="45">
        <f t="shared" si="4"/>
        <v>1</v>
      </c>
      <c r="E107" s="7">
        <f t="shared" si="4"/>
        <v>250</v>
      </c>
      <c r="F107" s="7">
        <f>D107*E107</f>
        <v>250</v>
      </c>
      <c r="G107" s="1"/>
      <c r="H107" s="1"/>
      <c r="I107" s="1"/>
      <c r="J107" s="1"/>
      <c r="K107" s="1"/>
    </row>
    <row r="108" spans="2:11" x14ac:dyDescent="0.35">
      <c r="B108" s="1" t="s">
        <v>81</v>
      </c>
      <c r="C108" s="1"/>
      <c r="D108" s="45">
        <f t="shared" si="4"/>
        <v>1</v>
      </c>
      <c r="E108" s="7">
        <f t="shared" si="4"/>
        <v>500</v>
      </c>
      <c r="F108" s="7">
        <f>E108*D108</f>
        <v>500</v>
      </c>
      <c r="G108" s="1"/>
      <c r="H108" s="1"/>
      <c r="I108" s="1"/>
      <c r="J108" s="1"/>
      <c r="K108" s="1"/>
    </row>
    <row r="109" spans="2:11" x14ac:dyDescent="0.35">
      <c r="B109" s="1" t="s">
        <v>109</v>
      </c>
      <c r="C109" s="1"/>
      <c r="D109" s="45">
        <f t="shared" si="4"/>
        <v>1</v>
      </c>
      <c r="E109" s="7">
        <f t="shared" si="4"/>
        <v>54</v>
      </c>
      <c r="F109" s="7">
        <f>D109*E109</f>
        <v>54</v>
      </c>
      <c r="G109" s="1"/>
      <c r="H109" s="1"/>
      <c r="I109" s="1"/>
      <c r="J109" s="1"/>
      <c r="K109" s="1"/>
    </row>
    <row r="110" spans="2:11" x14ac:dyDescent="0.35">
      <c r="B110" s="1" t="s">
        <v>110</v>
      </c>
      <c r="C110" s="1"/>
      <c r="D110" s="45">
        <f t="shared" si="4"/>
        <v>1</v>
      </c>
      <c r="E110" s="7">
        <f t="shared" si="4"/>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6134.2666666666664</v>
      </c>
      <c r="G113" s="1"/>
      <c r="H113" s="1"/>
      <c r="I113" s="1"/>
      <c r="J113" s="1"/>
      <c r="K113" s="1"/>
    </row>
    <row r="114" spans="2:11" x14ac:dyDescent="0.35">
      <c r="B114" s="3" t="s">
        <v>41</v>
      </c>
      <c r="C114" s="3"/>
      <c r="D114" s="3"/>
      <c r="E114" s="4"/>
      <c r="F114" s="48">
        <f>SUM(F106:F113)</f>
        <v>10109.266666666666</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48072.266666666663</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79862</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0.18076724137931033</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73727.733333333337</v>
      </c>
      <c r="G125" s="1"/>
      <c r="H125" s="1"/>
      <c r="I125" s="1"/>
      <c r="J125" s="1"/>
      <c r="K125" s="1"/>
    </row>
    <row r="126" spans="2:11" x14ac:dyDescent="0.35">
      <c r="B126" s="3" t="s">
        <v>43</v>
      </c>
      <c r="C126" s="3"/>
      <c r="D126" s="3"/>
      <c r="E126" s="4"/>
      <c r="F126" s="49">
        <f>F116/D90</f>
        <v>4.5783111111111115E-2</v>
      </c>
      <c r="G126" s="1"/>
      <c r="H126" s="1"/>
      <c r="I126" s="1"/>
      <c r="J126" s="1"/>
      <c r="K126" s="1"/>
    </row>
    <row r="127" spans="2:11" x14ac:dyDescent="0.35">
      <c r="B127" s="3" t="s">
        <v>44</v>
      </c>
      <c r="C127" s="3"/>
      <c r="D127" s="3"/>
      <c r="E127" s="4"/>
      <c r="F127" s="50">
        <f>(F116/(E86*(D86/D90)+E87*(D87/D90)+E88*(D88/D90)))/D93</f>
        <v>0.20720804597701145</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xr:uid="{00000000-0002-0000-0900-000000000000}">
      <formula1>0</formula1>
    </dataValidation>
    <dataValidation type="whole" operator="greaterThan" allowBlank="1" showInputMessage="1" showErrorMessage="1" sqref="C22:C28 D24:D28 E24 F53:I54 E50:E54 F5 E40:E41 F47:I47 E43:E48 D75:D79 C73:C79" xr:uid="{00000000-0002-0000-0900-000001000000}">
      <formula1>0</formula1>
    </dataValidation>
    <dataValidation type="whole" allowBlank="1" showInputMessage="1" showErrorMessage="1" sqref="E25:E28" xr:uid="{00000000-0002-0000-0900-000002000000}">
      <formula1>0</formula1>
      <formula2>1</formula2>
    </dataValidation>
    <dataValidation type="decimal" operator="greaterThanOrEqual" allowBlank="1" showInputMessage="1" showErrorMessage="1" sqref="F13:F15" xr:uid="{00000000-0002-0000-09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K127"/>
  <sheetViews>
    <sheetView workbookViewId="0">
      <selection activeCell="J27" sqref="J27"/>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'Cash Cost Sensitivities (2)'!A33</f>
        <v>0.70000000000000007</v>
      </c>
      <c r="G13" s="1"/>
      <c r="H13" s="1"/>
      <c r="I13" s="1"/>
      <c r="J13" s="1"/>
      <c r="K13" s="1"/>
    </row>
    <row r="14" spans="2:11" x14ac:dyDescent="0.35">
      <c r="B14" s="1"/>
      <c r="C14" s="1"/>
      <c r="D14" s="332" t="s">
        <v>62</v>
      </c>
      <c r="E14" s="333"/>
      <c r="F14" s="54">
        <f>'Cash Cost Sensitivities (2)'!B33</f>
        <v>0.2</v>
      </c>
      <c r="G14" s="1"/>
      <c r="H14" s="1"/>
      <c r="I14" s="1"/>
      <c r="J14" s="1"/>
      <c r="K14" s="1"/>
    </row>
    <row r="15" spans="2:11" x14ac:dyDescent="0.35">
      <c r="B15" s="1"/>
      <c r="C15" s="1"/>
      <c r="D15" s="332" t="s">
        <v>63</v>
      </c>
      <c r="E15" s="333"/>
      <c r="F15" s="66">
        <f>'Cash Cost Sensitivities (2)'!C33</f>
        <v>0.1</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84223.999999999985</v>
      </c>
      <c r="E61" s="35">
        <f>D68</f>
        <v>181803.99999999997</v>
      </c>
      <c r="F61" s="35">
        <f>E68</f>
        <v>278723.99999999994</v>
      </c>
      <c r="G61" s="35">
        <f>F68</f>
        <v>374961.99999999994</v>
      </c>
      <c r="H61" s="1"/>
      <c r="I61" s="1"/>
      <c r="J61" s="1"/>
      <c r="K61" s="1"/>
    </row>
    <row r="62" spans="2:11" x14ac:dyDescent="0.35">
      <c r="B62" s="12" t="s">
        <v>24</v>
      </c>
      <c r="C62" s="34">
        <f>F90</f>
        <v>125999.99999999999</v>
      </c>
      <c r="D62" s="34">
        <f>F90</f>
        <v>125999.99999999999</v>
      </c>
      <c r="E62" s="34">
        <f>F90</f>
        <v>125999.99999999999</v>
      </c>
      <c r="F62" s="34">
        <f>F90</f>
        <v>125999.99999999999</v>
      </c>
      <c r="G62" s="34">
        <f>F90</f>
        <v>125999.99999999999</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84223.999999999985</v>
      </c>
      <c r="D67" s="34">
        <f>D62-D66</f>
        <v>97579.999999999985</v>
      </c>
      <c r="E67" s="34">
        <f>E62-E66</f>
        <v>96919.999999999985</v>
      </c>
      <c r="F67" s="34">
        <f>F62-F66</f>
        <v>96237.999999999985</v>
      </c>
      <c r="G67" s="34">
        <f>G62-G66</f>
        <v>95537.999999999985</v>
      </c>
      <c r="H67" s="1"/>
      <c r="I67" s="1"/>
      <c r="J67" s="1"/>
      <c r="K67" s="1"/>
    </row>
    <row r="68" spans="2:11" x14ac:dyDescent="0.35">
      <c r="B68" s="12" t="s">
        <v>27</v>
      </c>
      <c r="C68" s="34">
        <f>C61+C67</f>
        <v>84223.999999999985</v>
      </c>
      <c r="D68" s="34">
        <f>D61+D67</f>
        <v>181803.99999999997</v>
      </c>
      <c r="E68" s="34">
        <f>E61+E67</f>
        <v>278723.99999999994</v>
      </c>
      <c r="F68" s="34">
        <f>F61+F67</f>
        <v>374961.99999999994</v>
      </c>
      <c r="G68" s="34">
        <f>G61+G67</f>
        <v>470499.99999999994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
        <v>0</v>
      </c>
      <c r="C72" s="30" t="s">
        <v>1</v>
      </c>
      <c r="D72" s="29" t="s">
        <v>2</v>
      </c>
      <c r="E72" s="29" t="s">
        <v>3</v>
      </c>
      <c r="F72" s="29" t="s">
        <v>4</v>
      </c>
      <c r="G72" s="29" t="s">
        <v>5</v>
      </c>
      <c r="H72" s="29" t="s">
        <v>6</v>
      </c>
      <c r="I72" s="29" t="s">
        <v>7</v>
      </c>
      <c r="J72" s="1"/>
      <c r="K72" s="1"/>
    </row>
    <row r="73" spans="2:11" x14ac:dyDescent="0.35">
      <c r="B73" s="21" t="s">
        <v>8</v>
      </c>
      <c r="C73" s="87">
        <f t="shared" ref="C73:C79" si="2">C22</f>
        <v>9</v>
      </c>
      <c r="D73" s="84">
        <v>4</v>
      </c>
      <c r="E73" s="22">
        <f>ROUND(F17*C73/D73,0)</f>
        <v>450</v>
      </c>
      <c r="F73" s="22">
        <f>ROUND((E73+E73*0.03),0)</f>
        <v>464</v>
      </c>
      <c r="G73" s="22">
        <f t="shared" ref="G73:I75" si="3">ROUND(F73+F73*0.03,0)</f>
        <v>478</v>
      </c>
      <c r="H73" s="22">
        <f t="shared" si="3"/>
        <v>492</v>
      </c>
      <c r="I73" s="22">
        <f t="shared" si="3"/>
        <v>507</v>
      </c>
      <c r="J73" s="1"/>
      <c r="K73" s="1"/>
    </row>
    <row r="74" spans="2:11" x14ac:dyDescent="0.35">
      <c r="B74" s="12" t="s">
        <v>9</v>
      </c>
      <c r="C74" s="87">
        <f t="shared" si="2"/>
        <v>8</v>
      </c>
      <c r="D74" s="85">
        <v>10</v>
      </c>
      <c r="E74" s="22">
        <f>ROUND(F18*C74/D74,0)</f>
        <v>1043</v>
      </c>
      <c r="F74" s="22">
        <f>ROUND((E74+E74*0.03),0)</f>
        <v>1074</v>
      </c>
      <c r="G74" s="22">
        <f t="shared" si="3"/>
        <v>1106</v>
      </c>
      <c r="H74" s="22">
        <f t="shared" si="3"/>
        <v>1139</v>
      </c>
      <c r="I74" s="22">
        <f t="shared" si="3"/>
        <v>1173</v>
      </c>
      <c r="J74" s="1"/>
      <c r="K74" s="1"/>
    </row>
    <row r="75" spans="2:11" x14ac:dyDescent="0.35">
      <c r="B75" s="12" t="s">
        <v>10</v>
      </c>
      <c r="C75" s="87">
        <f t="shared" si="2"/>
        <v>250</v>
      </c>
      <c r="D75" s="85">
        <v>3</v>
      </c>
      <c r="E75" s="20">
        <f>C75/D75</f>
        <v>83.333333333333329</v>
      </c>
      <c r="F75" s="20">
        <f>ROUND(E75+E75*0.03,0)</f>
        <v>86</v>
      </c>
      <c r="G75" s="20">
        <f t="shared" si="3"/>
        <v>89</v>
      </c>
      <c r="H75" s="20">
        <f t="shared" si="3"/>
        <v>92</v>
      </c>
      <c r="I75" s="20">
        <f t="shared" si="3"/>
        <v>95</v>
      </c>
      <c r="J75" s="1"/>
      <c r="K75" s="1"/>
    </row>
    <row r="76" spans="2:11" x14ac:dyDescent="0.35">
      <c r="B76" s="12" t="s">
        <v>11</v>
      </c>
      <c r="C76" s="87">
        <f t="shared" si="2"/>
        <v>25000</v>
      </c>
      <c r="D76" s="85">
        <v>7</v>
      </c>
      <c r="E76" s="20">
        <f>Budget!D73</f>
        <v>1250</v>
      </c>
      <c r="F76" s="20">
        <f>Budget!E73</f>
        <v>1288</v>
      </c>
      <c r="G76" s="20">
        <f>Budget!F73</f>
        <v>1326</v>
      </c>
      <c r="H76" s="20">
        <f>Budget!G73</f>
        <v>1366</v>
      </c>
      <c r="I76" s="20">
        <f>Budget!H73</f>
        <v>1407</v>
      </c>
      <c r="J76" s="1"/>
      <c r="K76" s="1"/>
    </row>
    <row r="77" spans="2:11" x14ac:dyDescent="0.35">
      <c r="B77" s="12" t="s">
        <v>69</v>
      </c>
      <c r="C77" s="87">
        <f t="shared" si="2"/>
        <v>35000</v>
      </c>
      <c r="D77" s="85">
        <v>10</v>
      </c>
      <c r="E77" s="20">
        <f>Budget!D74</f>
        <v>1750</v>
      </c>
      <c r="F77" s="20">
        <f>Budget!E74</f>
        <v>1803</v>
      </c>
      <c r="G77" s="20">
        <f>Budget!F74</f>
        <v>1857</v>
      </c>
      <c r="H77" s="20">
        <f>Budget!G74</f>
        <v>1912</v>
      </c>
      <c r="I77" s="20">
        <f>Budget!H74</f>
        <v>1970</v>
      </c>
      <c r="J77" s="1"/>
      <c r="K77" s="1"/>
    </row>
    <row r="78" spans="2:11" x14ac:dyDescent="0.35">
      <c r="B78" s="12" t="s">
        <v>70</v>
      </c>
      <c r="C78" s="87">
        <f t="shared" si="2"/>
        <v>10000</v>
      </c>
      <c r="D78" s="85">
        <v>3</v>
      </c>
      <c r="E78" s="20">
        <f>Budget!D75</f>
        <v>1000</v>
      </c>
      <c r="F78" s="20">
        <f>Budget!E75</f>
        <v>1030</v>
      </c>
      <c r="G78" s="20">
        <f>Budget!F75</f>
        <v>1061</v>
      </c>
      <c r="H78" s="20">
        <f>Budget!G75</f>
        <v>1093</v>
      </c>
      <c r="I78" s="20">
        <f>Budget!H75</f>
        <v>1126</v>
      </c>
      <c r="J78" s="1"/>
      <c r="K78" s="1"/>
    </row>
    <row r="79" spans="2:11" ht="44" thickBot="1" x14ac:dyDescent="0.4">
      <c r="B79" s="62" t="s">
        <v>71</v>
      </c>
      <c r="C79" s="80">
        <f t="shared" si="2"/>
        <v>1000</v>
      </c>
      <c r="D79" s="86">
        <v>5</v>
      </c>
      <c r="E79" s="24">
        <f>ROUND(C79/D79,0)</f>
        <v>200</v>
      </c>
      <c r="F79" s="24">
        <f>ROUND(E79+E79*0.03,0)</f>
        <v>206</v>
      </c>
      <c r="G79" s="24">
        <f>ROUND(F79+F79*0.03,0)</f>
        <v>212</v>
      </c>
      <c r="H79" s="24">
        <f>ROUND(G79+G79*0.03,0)</f>
        <v>218</v>
      </c>
      <c r="I79" s="24">
        <f>ROUND(H79+H79*0.03,0)</f>
        <v>225</v>
      </c>
      <c r="J79" s="1"/>
      <c r="K79" s="1"/>
    </row>
    <row r="80" spans="2:11" x14ac:dyDescent="0.35">
      <c r="B80" s="3" t="s">
        <v>45</v>
      </c>
      <c r="C80" s="4"/>
      <c r="D80" s="1"/>
      <c r="E80" s="11">
        <f>SUM(E73:E79)</f>
        <v>5776.333333333333</v>
      </c>
      <c r="F80" s="11">
        <f>SUM(F73:F79)</f>
        <v>5951</v>
      </c>
      <c r="G80" s="11">
        <f>SUM(G73:G79)</f>
        <v>6129</v>
      </c>
      <c r="H80" s="11">
        <f>SUM(H73:H79)</f>
        <v>6312</v>
      </c>
      <c r="I80" s="11">
        <f>SUM(I73:I79)</f>
        <v>6503</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734999.99999999988</v>
      </c>
      <c r="E86" s="46">
        <f>I7</f>
        <v>0.13</v>
      </c>
      <c r="F86" s="7">
        <f>E86*D86</f>
        <v>95549.999999999985</v>
      </c>
      <c r="G86" s="1"/>
      <c r="H86" s="1"/>
      <c r="I86" s="1"/>
      <c r="J86" s="1"/>
      <c r="K86" s="1"/>
    </row>
    <row r="87" spans="2:11" x14ac:dyDescent="0.35">
      <c r="B87" s="1" t="s">
        <v>35</v>
      </c>
      <c r="C87" s="1"/>
      <c r="D87" s="45">
        <f>F14*D90</f>
        <v>209999.99999999997</v>
      </c>
      <c r="E87" s="46">
        <f>I8</f>
        <v>0.11</v>
      </c>
      <c r="F87" s="7">
        <f>E87*D87</f>
        <v>23099.999999999996</v>
      </c>
      <c r="G87" s="1"/>
      <c r="H87" s="1"/>
      <c r="I87" s="1"/>
      <c r="J87" s="1"/>
      <c r="K87" s="1"/>
    </row>
    <row r="88" spans="2:11" x14ac:dyDescent="0.35">
      <c r="B88" s="1" t="s">
        <v>36</v>
      </c>
      <c r="C88" s="1"/>
      <c r="D88" s="45">
        <f>F15*D90</f>
        <v>104999.99999999999</v>
      </c>
      <c r="E88" s="47">
        <f>I9</f>
        <v>7.0000000000000007E-2</v>
      </c>
      <c r="F88" s="9">
        <f>E88*D88</f>
        <v>7350</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125999.99999999999</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4">C50</f>
        <v>1</v>
      </c>
      <c r="E106" s="7">
        <f t="shared" si="4"/>
        <v>750</v>
      </c>
      <c r="F106" s="7">
        <f>E106*D106</f>
        <v>750</v>
      </c>
      <c r="G106" s="1"/>
      <c r="H106" s="1"/>
      <c r="I106" s="1"/>
      <c r="J106" s="1"/>
      <c r="K106" s="1"/>
    </row>
    <row r="107" spans="2:11" x14ac:dyDescent="0.35">
      <c r="B107" s="1" t="s">
        <v>112</v>
      </c>
      <c r="C107" s="1"/>
      <c r="D107" s="45">
        <f t="shared" si="4"/>
        <v>1</v>
      </c>
      <c r="E107" s="7">
        <f t="shared" si="4"/>
        <v>250</v>
      </c>
      <c r="F107" s="7">
        <f>D107*E107</f>
        <v>250</v>
      </c>
      <c r="G107" s="1"/>
      <c r="H107" s="1"/>
      <c r="I107" s="1"/>
      <c r="J107" s="1"/>
      <c r="K107" s="1"/>
    </row>
    <row r="108" spans="2:11" x14ac:dyDescent="0.35">
      <c r="B108" s="1" t="s">
        <v>81</v>
      </c>
      <c r="C108" s="1"/>
      <c r="D108" s="45">
        <f t="shared" si="4"/>
        <v>1</v>
      </c>
      <c r="E108" s="7">
        <f t="shared" si="4"/>
        <v>500</v>
      </c>
      <c r="F108" s="7">
        <f>E108*D108</f>
        <v>500</v>
      </c>
      <c r="G108" s="1"/>
      <c r="H108" s="1"/>
      <c r="I108" s="1"/>
      <c r="J108" s="1"/>
      <c r="K108" s="1"/>
    </row>
    <row r="109" spans="2:11" x14ac:dyDescent="0.35">
      <c r="B109" s="1" t="s">
        <v>109</v>
      </c>
      <c r="C109" s="1"/>
      <c r="D109" s="45">
        <f t="shared" si="4"/>
        <v>1</v>
      </c>
      <c r="E109" s="7">
        <f t="shared" si="4"/>
        <v>54</v>
      </c>
      <c r="F109" s="7">
        <f>D109*E109</f>
        <v>54</v>
      </c>
      <c r="G109" s="1"/>
      <c r="H109" s="1"/>
      <c r="I109" s="1"/>
      <c r="J109" s="1"/>
      <c r="K109" s="1"/>
    </row>
    <row r="110" spans="2:11" x14ac:dyDescent="0.35">
      <c r="B110" s="1" t="s">
        <v>110</v>
      </c>
      <c r="C110" s="1"/>
      <c r="D110" s="45">
        <f t="shared" si="4"/>
        <v>1</v>
      </c>
      <c r="E110" s="7">
        <f t="shared" si="4"/>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6134.2666666666664</v>
      </c>
      <c r="G113" s="1"/>
      <c r="H113" s="1"/>
      <c r="I113" s="1"/>
      <c r="J113" s="1"/>
      <c r="K113" s="1"/>
    </row>
    <row r="114" spans="2:11" x14ac:dyDescent="0.35">
      <c r="B114" s="3" t="s">
        <v>41</v>
      </c>
      <c r="C114" s="3"/>
      <c r="D114" s="3"/>
      <c r="E114" s="4"/>
      <c r="F114" s="48">
        <f>SUM(F106:F113)</f>
        <v>10109.266666666666</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48072.266666666663</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84061.999999999985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0.17474166666666663</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77927.733333333323</v>
      </c>
      <c r="G125" s="1"/>
      <c r="H125" s="1"/>
      <c r="I125" s="1"/>
      <c r="J125" s="1"/>
      <c r="K125" s="1"/>
    </row>
    <row r="126" spans="2:11" x14ac:dyDescent="0.35">
      <c r="B126" s="3" t="s">
        <v>43</v>
      </c>
      <c r="C126" s="3"/>
      <c r="D126" s="3"/>
      <c r="E126" s="4"/>
      <c r="F126" s="49">
        <f>F116/D90</f>
        <v>4.5783111111111115E-2</v>
      </c>
      <c r="G126" s="1"/>
      <c r="H126" s="1"/>
      <c r="I126" s="1"/>
      <c r="J126" s="1"/>
      <c r="K126" s="1"/>
    </row>
    <row r="127" spans="2:11" x14ac:dyDescent="0.35">
      <c r="B127" s="3" t="s">
        <v>44</v>
      </c>
      <c r="C127" s="3"/>
      <c r="D127" s="3"/>
      <c r="E127" s="4"/>
      <c r="F127" s="50">
        <f>(F116/(E86*(D86/D90)+E87*(D87/D90)+E88*(D88/D90)))/D93</f>
        <v>0.20030111111111107</v>
      </c>
      <c r="G127" s="1"/>
      <c r="H127" s="1"/>
      <c r="I127" s="1"/>
      <c r="J127" s="1"/>
      <c r="K127" s="1"/>
    </row>
  </sheetData>
  <mergeCells count="23">
    <mergeCell ref="D5:E5"/>
    <mergeCell ref="D12:F12"/>
    <mergeCell ref="D13:E13"/>
    <mergeCell ref="B20:K20"/>
    <mergeCell ref="B37:I37"/>
    <mergeCell ref="D11:E11"/>
    <mergeCell ref="D6:E6"/>
    <mergeCell ref="D7:E7"/>
    <mergeCell ref="D8:E8"/>
    <mergeCell ref="D9:E9"/>
    <mergeCell ref="D10:E10"/>
    <mergeCell ref="B111:G111"/>
    <mergeCell ref="D14:E14"/>
    <mergeCell ref="D15:E15"/>
    <mergeCell ref="D16:E16"/>
    <mergeCell ref="D17:E17"/>
    <mergeCell ref="D18:E18"/>
    <mergeCell ref="B59:I59"/>
    <mergeCell ref="B91:G91"/>
    <mergeCell ref="B103:G103"/>
    <mergeCell ref="E70:F70"/>
    <mergeCell ref="B83:G83"/>
    <mergeCell ref="B89:G89"/>
  </mergeCells>
  <dataValidations count="4">
    <dataValidation type="whole" allowBlank="1" showInputMessage="1" showErrorMessage="1" sqref="E25:E28" xr:uid="{00000000-0002-0000-0A00-000000000000}">
      <formula1>0</formula1>
      <formula2>1</formula2>
    </dataValidation>
    <dataValidation type="whole" operator="greaterThan" allowBlank="1" showInputMessage="1" showErrorMessage="1" sqref="C22:C28 D24:D28 E24 F53:I54 E50:E54 F5 E40:E41 F47:I47 E43:E48 D75:D79 C73:C79" xr:uid="{00000000-0002-0000-0A00-000001000000}">
      <formula1>0</formula1>
    </dataValidation>
    <dataValidation type="decimal" operator="greaterThan" allowBlank="1" showInputMessage="1" showErrorMessage="1" sqref="I7:I9 I5 F6:F7 F9:F11" xr:uid="{00000000-0002-0000-0A00-000002000000}">
      <formula1>0</formula1>
    </dataValidation>
    <dataValidation type="decimal" operator="greaterThanOrEqual" allowBlank="1" showInputMessage="1" showErrorMessage="1" sqref="F13:F15" xr:uid="{00000000-0002-0000-0A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K127"/>
  <sheetViews>
    <sheetView topLeftCell="A42" workbookViewId="0">
      <selection activeCell="F77" sqref="F77"/>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'Cash Cost Sensitivities (2)'!A32</f>
        <v>0.8</v>
      </c>
      <c r="G13" s="1"/>
      <c r="H13" s="1"/>
      <c r="I13" s="1"/>
      <c r="J13" s="1"/>
      <c r="K13" s="1"/>
    </row>
    <row r="14" spans="2:11" x14ac:dyDescent="0.35">
      <c r="B14" s="1"/>
      <c r="C14" s="1"/>
      <c r="D14" s="332" t="s">
        <v>62</v>
      </c>
      <c r="E14" s="333"/>
      <c r="F14" s="54">
        <f>'Cash Cost Sensitivities (2)'!B32</f>
        <v>0.15</v>
      </c>
      <c r="G14" s="1"/>
      <c r="H14" s="1"/>
      <c r="I14" s="1"/>
      <c r="J14" s="1"/>
      <c r="K14" s="1"/>
    </row>
    <row r="15" spans="2:11" x14ac:dyDescent="0.35">
      <c r="B15" s="1"/>
      <c r="C15" s="1"/>
      <c r="D15" s="332" t="s">
        <v>63</v>
      </c>
      <c r="E15" s="333"/>
      <c r="F15" s="66">
        <f>'Cash Cost Sensitivities (2)'!C32</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88423.999999999985</v>
      </c>
      <c r="E61" s="35">
        <f>D68</f>
        <v>190203.99999999997</v>
      </c>
      <c r="F61" s="35">
        <f>E68</f>
        <v>291323.99999999994</v>
      </c>
      <c r="G61" s="35">
        <f>F68</f>
        <v>391761.99999999994</v>
      </c>
      <c r="H61" s="1"/>
      <c r="I61" s="1"/>
      <c r="J61" s="1"/>
      <c r="K61" s="1"/>
    </row>
    <row r="62" spans="2:11" x14ac:dyDescent="0.35">
      <c r="B62" s="12" t="s">
        <v>24</v>
      </c>
      <c r="C62" s="34">
        <f>F90</f>
        <v>130199.99999999999</v>
      </c>
      <c r="D62" s="34">
        <f>F90</f>
        <v>130199.99999999999</v>
      </c>
      <c r="E62" s="34">
        <f>F90</f>
        <v>130199.99999999999</v>
      </c>
      <c r="F62" s="34">
        <f>F90</f>
        <v>130199.99999999999</v>
      </c>
      <c r="G62" s="34">
        <f>F90</f>
        <v>130199.99999999999</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88423.999999999985</v>
      </c>
      <c r="D67" s="34">
        <f>D62-D66</f>
        <v>101779.99999999999</v>
      </c>
      <c r="E67" s="34">
        <f>E62-E66</f>
        <v>101119.99999999999</v>
      </c>
      <c r="F67" s="34">
        <f>F62-F66</f>
        <v>100437.99999999999</v>
      </c>
      <c r="G67" s="34">
        <f>G62-G66</f>
        <v>99737.999999999985</v>
      </c>
      <c r="H67" s="1"/>
      <c r="I67" s="1"/>
      <c r="J67" s="1"/>
      <c r="K67" s="1"/>
    </row>
    <row r="68" spans="2:11" x14ac:dyDescent="0.35">
      <c r="B68" s="12" t="s">
        <v>27</v>
      </c>
      <c r="C68" s="34">
        <f>C61+C67</f>
        <v>88423.999999999985</v>
      </c>
      <c r="D68" s="34">
        <f>D61+D67</f>
        <v>190203.99999999997</v>
      </c>
      <c r="E68" s="34">
        <f>E61+E67</f>
        <v>291323.99999999994</v>
      </c>
      <c r="F68" s="34">
        <f>F61+F67</f>
        <v>391761.99999999994</v>
      </c>
      <c r="G68" s="34">
        <f>G61+G67</f>
        <v>491499.99999999994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
        <v>0</v>
      </c>
      <c r="C72" s="30" t="s">
        <v>1</v>
      </c>
      <c r="D72" s="29" t="s">
        <v>2</v>
      </c>
      <c r="E72" s="29" t="s">
        <v>3</v>
      </c>
      <c r="F72" s="29" t="s">
        <v>4</v>
      </c>
      <c r="G72" s="29" t="s">
        <v>5</v>
      </c>
      <c r="H72" s="29" t="s">
        <v>6</v>
      </c>
      <c r="I72" s="29" t="s">
        <v>7</v>
      </c>
      <c r="J72" s="1"/>
      <c r="K72" s="1"/>
    </row>
    <row r="73" spans="2:11" x14ac:dyDescent="0.35">
      <c r="B73" s="21" t="s">
        <v>8</v>
      </c>
      <c r="C73" s="87">
        <f t="shared" ref="C73:C79" si="2">C22</f>
        <v>9</v>
      </c>
      <c r="D73" s="84">
        <v>4</v>
      </c>
      <c r="E73" s="22">
        <f>ROUND(F17*C73/D73,0)</f>
        <v>450</v>
      </c>
      <c r="F73" s="22">
        <f>ROUND((E73+E73*0.03),0)</f>
        <v>464</v>
      </c>
      <c r="G73" s="22">
        <f t="shared" ref="G73:I75" si="3">ROUND(F73+F73*0.03,0)</f>
        <v>478</v>
      </c>
      <c r="H73" s="22">
        <f t="shared" si="3"/>
        <v>492</v>
      </c>
      <c r="I73" s="22">
        <f t="shared" si="3"/>
        <v>507</v>
      </c>
      <c r="J73" s="1"/>
      <c r="K73" s="1"/>
    </row>
    <row r="74" spans="2:11" x14ac:dyDescent="0.35">
      <c r="B74" s="12" t="s">
        <v>9</v>
      </c>
      <c r="C74" s="87">
        <f t="shared" si="2"/>
        <v>8</v>
      </c>
      <c r="D74" s="85">
        <v>10</v>
      </c>
      <c r="E74" s="22">
        <f>ROUND(F18*C74/D74,0)</f>
        <v>1043</v>
      </c>
      <c r="F74" s="22">
        <f>ROUND((E74+E74*0.03),0)</f>
        <v>1074</v>
      </c>
      <c r="G74" s="22">
        <f t="shared" si="3"/>
        <v>1106</v>
      </c>
      <c r="H74" s="22">
        <f t="shared" si="3"/>
        <v>1139</v>
      </c>
      <c r="I74" s="22">
        <f t="shared" si="3"/>
        <v>1173</v>
      </c>
      <c r="J74" s="1"/>
      <c r="K74" s="1"/>
    </row>
    <row r="75" spans="2:11" x14ac:dyDescent="0.35">
      <c r="B75" s="12" t="s">
        <v>10</v>
      </c>
      <c r="C75" s="87">
        <f t="shared" si="2"/>
        <v>250</v>
      </c>
      <c r="D75" s="85">
        <v>3</v>
      </c>
      <c r="E75" s="20">
        <f>C75/D75</f>
        <v>83.333333333333329</v>
      </c>
      <c r="F75" s="20">
        <f>ROUND(E75+E75*0.03,0)</f>
        <v>86</v>
      </c>
      <c r="G75" s="20">
        <f t="shared" si="3"/>
        <v>89</v>
      </c>
      <c r="H75" s="20">
        <f t="shared" si="3"/>
        <v>92</v>
      </c>
      <c r="I75" s="20">
        <f t="shared" si="3"/>
        <v>95</v>
      </c>
      <c r="J75" s="1"/>
      <c r="K75" s="1"/>
    </row>
    <row r="76" spans="2:11" x14ac:dyDescent="0.35">
      <c r="B76" s="12" t="s">
        <v>11</v>
      </c>
      <c r="C76" s="87">
        <f t="shared" si="2"/>
        <v>25000</v>
      </c>
      <c r="D76" s="85">
        <v>7</v>
      </c>
      <c r="E76" s="20">
        <f>Budget!D73</f>
        <v>1250</v>
      </c>
      <c r="F76" s="20">
        <f>Budget!E73</f>
        <v>1288</v>
      </c>
      <c r="G76" s="20">
        <f>Budget!F73</f>
        <v>1326</v>
      </c>
      <c r="H76" s="20">
        <f>Budget!G73</f>
        <v>1366</v>
      </c>
      <c r="I76" s="20">
        <f>Budget!H73</f>
        <v>1407</v>
      </c>
      <c r="J76" s="1"/>
      <c r="K76" s="1"/>
    </row>
    <row r="77" spans="2:11" x14ac:dyDescent="0.35">
      <c r="B77" s="12" t="s">
        <v>69</v>
      </c>
      <c r="C77" s="87">
        <f t="shared" si="2"/>
        <v>35000</v>
      </c>
      <c r="D77" s="85">
        <v>10</v>
      </c>
      <c r="E77" s="20">
        <f>Budget!D74</f>
        <v>1750</v>
      </c>
      <c r="F77" s="20">
        <f>Budget!E74</f>
        <v>1803</v>
      </c>
      <c r="G77" s="20">
        <f>Budget!F74</f>
        <v>1857</v>
      </c>
      <c r="H77" s="20">
        <f>Budget!G74</f>
        <v>1912</v>
      </c>
      <c r="I77" s="20">
        <f>Budget!H74</f>
        <v>1970</v>
      </c>
      <c r="J77" s="1"/>
      <c r="K77" s="1"/>
    </row>
    <row r="78" spans="2:11" x14ac:dyDescent="0.35">
      <c r="B78" s="12" t="s">
        <v>70</v>
      </c>
      <c r="C78" s="87">
        <f t="shared" si="2"/>
        <v>10000</v>
      </c>
      <c r="D78" s="85">
        <v>3</v>
      </c>
      <c r="E78" s="20">
        <f>Budget!D75</f>
        <v>1000</v>
      </c>
      <c r="F78" s="20">
        <f>Budget!E75</f>
        <v>1030</v>
      </c>
      <c r="G78" s="20">
        <f>Budget!F75</f>
        <v>1061</v>
      </c>
      <c r="H78" s="20">
        <f>Budget!G75</f>
        <v>1093</v>
      </c>
      <c r="I78" s="20">
        <f>Budget!H75</f>
        <v>1126</v>
      </c>
      <c r="J78" s="1"/>
      <c r="K78" s="1"/>
    </row>
    <row r="79" spans="2:11" ht="44" thickBot="1" x14ac:dyDescent="0.4">
      <c r="B79" s="62" t="s">
        <v>71</v>
      </c>
      <c r="C79" s="80">
        <f t="shared" si="2"/>
        <v>1000</v>
      </c>
      <c r="D79" s="86">
        <v>5</v>
      </c>
      <c r="E79" s="24">
        <f>ROUND(C79/D79,0)</f>
        <v>200</v>
      </c>
      <c r="F79" s="24">
        <f>ROUND(E79+E79*0.03,0)</f>
        <v>206</v>
      </c>
      <c r="G79" s="24">
        <f>ROUND(F79+F79*0.03,0)</f>
        <v>212</v>
      </c>
      <c r="H79" s="24">
        <f>ROUND(G79+G79*0.03,0)</f>
        <v>218</v>
      </c>
      <c r="I79" s="24">
        <f>ROUND(H79+H79*0.03,0)</f>
        <v>225</v>
      </c>
      <c r="J79" s="1"/>
      <c r="K79" s="1"/>
    </row>
    <row r="80" spans="2:11" x14ac:dyDescent="0.35">
      <c r="B80" s="3" t="s">
        <v>45</v>
      </c>
      <c r="C80" s="4"/>
      <c r="D80" s="1"/>
      <c r="E80" s="11">
        <f>SUM(E73:E79)</f>
        <v>5776.333333333333</v>
      </c>
      <c r="F80" s="11">
        <f>SUM(F73:F79)</f>
        <v>5951</v>
      </c>
      <c r="G80" s="11">
        <f>SUM(G73:G79)</f>
        <v>6129</v>
      </c>
      <c r="H80" s="11">
        <f>SUM(H73:H79)</f>
        <v>6312</v>
      </c>
      <c r="I80" s="11">
        <f>SUM(I73:I79)</f>
        <v>6503</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0.13</v>
      </c>
      <c r="F86" s="7">
        <f>E86*D86</f>
        <v>109199.99999999999</v>
      </c>
      <c r="G86" s="1"/>
      <c r="H86" s="1"/>
      <c r="I86" s="1"/>
      <c r="J86" s="1"/>
      <c r="K86" s="1"/>
    </row>
    <row r="87" spans="2:11" x14ac:dyDescent="0.35">
      <c r="B87" s="1" t="s">
        <v>35</v>
      </c>
      <c r="C87" s="1"/>
      <c r="D87" s="45">
        <f>F14*D90</f>
        <v>157499.99999999997</v>
      </c>
      <c r="E87" s="46">
        <f>I8</f>
        <v>0.11</v>
      </c>
      <c r="F87" s="7">
        <f>E87*D87</f>
        <v>17324.999999999996</v>
      </c>
      <c r="G87" s="1"/>
      <c r="H87" s="1"/>
      <c r="I87" s="1"/>
      <c r="J87" s="1"/>
      <c r="K87" s="1"/>
    </row>
    <row r="88" spans="2:11" x14ac:dyDescent="0.35">
      <c r="B88" s="1" t="s">
        <v>36</v>
      </c>
      <c r="C88" s="1"/>
      <c r="D88" s="45">
        <f>F15*D90</f>
        <v>52499.999999999993</v>
      </c>
      <c r="E88" s="47">
        <f>I9</f>
        <v>7.0000000000000007E-2</v>
      </c>
      <c r="F88" s="9">
        <f>E88*D88</f>
        <v>3675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130199.99999999999</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4">C50</f>
        <v>1</v>
      </c>
      <c r="E106" s="7">
        <f t="shared" si="4"/>
        <v>750</v>
      </c>
      <c r="F106" s="7">
        <f>E106*D106</f>
        <v>750</v>
      </c>
      <c r="G106" s="1"/>
      <c r="H106" s="1"/>
      <c r="I106" s="1"/>
      <c r="J106" s="1"/>
      <c r="K106" s="1"/>
    </row>
    <row r="107" spans="2:11" x14ac:dyDescent="0.35">
      <c r="B107" s="1" t="s">
        <v>112</v>
      </c>
      <c r="C107" s="1"/>
      <c r="D107" s="45">
        <f t="shared" si="4"/>
        <v>1</v>
      </c>
      <c r="E107" s="7">
        <f t="shared" si="4"/>
        <v>250</v>
      </c>
      <c r="F107" s="7">
        <f>D107*E107</f>
        <v>250</v>
      </c>
      <c r="G107" s="1"/>
      <c r="H107" s="1"/>
      <c r="I107" s="1"/>
      <c r="J107" s="1"/>
      <c r="K107" s="1"/>
    </row>
    <row r="108" spans="2:11" x14ac:dyDescent="0.35">
      <c r="B108" s="1" t="s">
        <v>81</v>
      </c>
      <c r="C108" s="1"/>
      <c r="D108" s="45">
        <f t="shared" si="4"/>
        <v>1</v>
      </c>
      <c r="E108" s="7">
        <f t="shared" si="4"/>
        <v>500</v>
      </c>
      <c r="F108" s="7">
        <f>E108*D108</f>
        <v>500</v>
      </c>
      <c r="G108" s="1"/>
      <c r="H108" s="1"/>
      <c r="I108" s="1"/>
      <c r="J108" s="1"/>
      <c r="K108" s="1"/>
    </row>
    <row r="109" spans="2:11" x14ac:dyDescent="0.35">
      <c r="B109" s="1" t="s">
        <v>109</v>
      </c>
      <c r="C109" s="1"/>
      <c r="D109" s="45">
        <f t="shared" si="4"/>
        <v>1</v>
      </c>
      <c r="E109" s="7">
        <f t="shared" si="4"/>
        <v>54</v>
      </c>
      <c r="F109" s="7">
        <f>D109*E109</f>
        <v>54</v>
      </c>
      <c r="G109" s="1"/>
      <c r="H109" s="1"/>
      <c r="I109" s="1"/>
      <c r="J109" s="1"/>
      <c r="K109" s="1"/>
    </row>
    <row r="110" spans="2:11" x14ac:dyDescent="0.35">
      <c r="B110" s="1" t="s">
        <v>110</v>
      </c>
      <c r="C110" s="1"/>
      <c r="D110" s="45">
        <f t="shared" si="4"/>
        <v>1</v>
      </c>
      <c r="E110" s="7">
        <f t="shared" si="4"/>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6134.2666666666664</v>
      </c>
      <c r="G113" s="1"/>
      <c r="H113" s="1"/>
      <c r="I113" s="1"/>
      <c r="J113" s="1"/>
      <c r="K113" s="1"/>
    </row>
    <row r="114" spans="2:11" x14ac:dyDescent="0.35">
      <c r="B114" s="3" t="s">
        <v>41</v>
      </c>
      <c r="C114" s="3"/>
      <c r="D114" s="3"/>
      <c r="E114" s="4"/>
      <c r="F114" s="48">
        <f>SUM(F106:F113)</f>
        <v>10109.266666666666</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48072.266666666663</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88261.999999999985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0.16910483870967741</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82127.733333333323</v>
      </c>
      <c r="G125" s="1"/>
      <c r="H125" s="1"/>
      <c r="I125" s="1"/>
      <c r="J125" s="1"/>
      <c r="K125" s="1"/>
    </row>
    <row r="126" spans="2:11" x14ac:dyDescent="0.35">
      <c r="B126" s="3" t="s">
        <v>43</v>
      </c>
      <c r="C126" s="3"/>
      <c r="D126" s="3"/>
      <c r="E126" s="4"/>
      <c r="F126" s="49">
        <f>F116/D90</f>
        <v>4.5783111111111115E-2</v>
      </c>
      <c r="G126" s="1"/>
      <c r="H126" s="1"/>
      <c r="I126" s="1"/>
      <c r="J126" s="1"/>
      <c r="K126" s="1"/>
    </row>
    <row r="127" spans="2:11" x14ac:dyDescent="0.35">
      <c r="B127" s="3" t="s">
        <v>44</v>
      </c>
      <c r="C127" s="3"/>
      <c r="D127" s="3"/>
      <c r="E127" s="4"/>
      <c r="F127" s="50">
        <f>(F116/(E86*(D86/D90)+E87*(D87/D90)+E88*(D88/D90)))/D93</f>
        <v>0.19383978494623652</v>
      </c>
      <c r="G127" s="1"/>
      <c r="H127" s="1"/>
      <c r="I127" s="1"/>
      <c r="J127" s="1"/>
      <c r="K127" s="1"/>
    </row>
  </sheetData>
  <mergeCells count="23">
    <mergeCell ref="D5:E5"/>
    <mergeCell ref="D12:F12"/>
    <mergeCell ref="D13:E13"/>
    <mergeCell ref="B37:I37"/>
    <mergeCell ref="D14:E14"/>
    <mergeCell ref="D6:E6"/>
    <mergeCell ref="D7:E7"/>
    <mergeCell ref="D8:E8"/>
    <mergeCell ref="D9:E9"/>
    <mergeCell ref="D10:E10"/>
    <mergeCell ref="D15:E15"/>
    <mergeCell ref="D16:E16"/>
    <mergeCell ref="D17:E17"/>
    <mergeCell ref="D18:E18"/>
    <mergeCell ref="D11:E11"/>
    <mergeCell ref="B111:G111"/>
    <mergeCell ref="B20:K20"/>
    <mergeCell ref="E70:F70"/>
    <mergeCell ref="B83:G83"/>
    <mergeCell ref="B89:G89"/>
    <mergeCell ref="B91:G91"/>
    <mergeCell ref="B103:G103"/>
    <mergeCell ref="B59:I59"/>
  </mergeCells>
  <dataValidations count="4">
    <dataValidation type="decimal" operator="greaterThan" allowBlank="1" showInputMessage="1" showErrorMessage="1" sqref="I7:I9 I5 F6:F7 F9:F11" xr:uid="{00000000-0002-0000-0B00-000000000000}">
      <formula1>0</formula1>
    </dataValidation>
    <dataValidation type="whole" operator="greaterThan" allowBlank="1" showInputMessage="1" showErrorMessage="1" sqref="C22:C28 D24:D28 E24 F53:I54 E50:E54 F5 E40:E41 F47:I47 E43:E48 D75:D79 C73:C79" xr:uid="{00000000-0002-0000-0B00-000001000000}">
      <formula1>0</formula1>
    </dataValidation>
    <dataValidation type="whole" allowBlank="1" showInputMessage="1" showErrorMessage="1" sqref="E25:E28" xr:uid="{00000000-0002-0000-0B00-000002000000}">
      <formula1>0</formula1>
      <formula2>1</formula2>
    </dataValidation>
    <dataValidation type="decimal" operator="greaterThanOrEqual" allowBlank="1" showInputMessage="1" showErrorMessage="1" sqref="F13:F15" xr:uid="{00000000-0002-0000-0B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K127"/>
  <sheetViews>
    <sheetView topLeftCell="A61"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'Cash Cost Sensitivities (2)'!A31</f>
        <v>0.9</v>
      </c>
      <c r="G13" s="1"/>
      <c r="H13" s="1"/>
      <c r="I13" s="1"/>
      <c r="J13" s="1"/>
      <c r="K13" s="1"/>
    </row>
    <row r="14" spans="2:11" x14ac:dyDescent="0.35">
      <c r="B14" s="1"/>
      <c r="C14" s="1"/>
      <c r="D14" s="332" t="s">
        <v>62</v>
      </c>
      <c r="E14" s="333"/>
      <c r="F14" s="54">
        <f>'Cash Cost Sensitivities (2)'!B31</f>
        <v>0.1</v>
      </c>
      <c r="G14" s="1"/>
      <c r="H14" s="1"/>
      <c r="I14" s="1"/>
      <c r="J14" s="1"/>
      <c r="K14" s="1"/>
    </row>
    <row r="15" spans="2:11" x14ac:dyDescent="0.35">
      <c r="B15" s="1"/>
      <c r="C15" s="1"/>
      <c r="D15" s="332" t="s">
        <v>63</v>
      </c>
      <c r="E15" s="333"/>
      <c r="F15" s="66">
        <f>'Cash Cost Sensitivities (2)'!C31</f>
        <v>0</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92623.999999999971</v>
      </c>
      <c r="E61" s="35">
        <f>D68</f>
        <v>198603.99999999994</v>
      </c>
      <c r="F61" s="35">
        <f>E68</f>
        <v>303923.99999999988</v>
      </c>
      <c r="G61" s="35">
        <f>F68</f>
        <v>408561.99999999988</v>
      </c>
      <c r="H61" s="1"/>
      <c r="I61" s="1"/>
      <c r="J61" s="1"/>
      <c r="K61" s="1"/>
    </row>
    <row r="62" spans="2:11" x14ac:dyDescent="0.35">
      <c r="B62" s="12" t="s">
        <v>24</v>
      </c>
      <c r="C62" s="34">
        <f>F90</f>
        <v>134399.99999999997</v>
      </c>
      <c r="D62" s="34">
        <f>F90</f>
        <v>134399.99999999997</v>
      </c>
      <c r="E62" s="34">
        <f>F90</f>
        <v>134399.99999999997</v>
      </c>
      <c r="F62" s="34">
        <f>F90</f>
        <v>134399.99999999997</v>
      </c>
      <c r="G62" s="34">
        <f>F90</f>
        <v>134399.99999999997</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92623.999999999971</v>
      </c>
      <c r="D67" s="34">
        <f>D62-D66</f>
        <v>105979.99999999997</v>
      </c>
      <c r="E67" s="34">
        <f>E62-E66</f>
        <v>105319.99999999997</v>
      </c>
      <c r="F67" s="34">
        <f>F62-F66</f>
        <v>104637.99999999997</v>
      </c>
      <c r="G67" s="34">
        <f>G62-G66</f>
        <v>103937.99999999997</v>
      </c>
      <c r="H67" s="1"/>
      <c r="I67" s="1"/>
      <c r="J67" s="1"/>
      <c r="K67" s="1"/>
    </row>
    <row r="68" spans="2:11" x14ac:dyDescent="0.35">
      <c r="B68" s="12" t="s">
        <v>27</v>
      </c>
      <c r="C68" s="34">
        <f>C61+C67</f>
        <v>92623.999999999971</v>
      </c>
      <c r="D68" s="34">
        <f>D61+D67</f>
        <v>198603.99999999994</v>
      </c>
      <c r="E68" s="34">
        <f>E61+E67</f>
        <v>303923.99999999988</v>
      </c>
      <c r="F68" s="34">
        <f>F61+F67</f>
        <v>408561.99999999988</v>
      </c>
      <c r="G68" s="34">
        <f>G61+G67</f>
        <v>512499.99999999988</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944999.99999999977</v>
      </c>
      <c r="E86" s="46">
        <f>I7</f>
        <v>0.13</v>
      </c>
      <c r="F86" s="7">
        <f>E86*D86</f>
        <v>122849.99999999997</v>
      </c>
      <c r="G86" s="1"/>
      <c r="H86" s="1"/>
      <c r="I86" s="1"/>
      <c r="J86" s="1"/>
      <c r="K86" s="1"/>
    </row>
    <row r="87" spans="2:11" x14ac:dyDescent="0.35">
      <c r="B87" s="1" t="s">
        <v>35</v>
      </c>
      <c r="C87" s="1"/>
      <c r="D87" s="45">
        <f>F14*D90</f>
        <v>104999.99999999999</v>
      </c>
      <c r="E87" s="46">
        <f>I8</f>
        <v>0.11</v>
      </c>
      <c r="F87" s="7">
        <f>E87*D87</f>
        <v>11549.999999999998</v>
      </c>
      <c r="G87" s="1"/>
      <c r="H87" s="1"/>
      <c r="I87" s="1"/>
      <c r="J87" s="1"/>
      <c r="K87" s="1"/>
    </row>
    <row r="88" spans="2:11" x14ac:dyDescent="0.35">
      <c r="B88" s="1" t="s">
        <v>36</v>
      </c>
      <c r="C88" s="1"/>
      <c r="D88" s="45">
        <f>F15*D90</f>
        <v>0</v>
      </c>
      <c r="E88" s="47">
        <f>I9</f>
        <v>7.0000000000000007E-2</v>
      </c>
      <c r="F88" s="9">
        <f>E88*D88</f>
        <v>0</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134399.99999999997</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92461.999999999971</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0.16382031250000001</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85694.533333333296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0.19025572916666667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xr:uid="{00000000-0002-0000-0C00-000000000000}">
      <formula1>0</formula1>
    </dataValidation>
    <dataValidation type="whole" operator="greaterThan" allowBlank="1" showInputMessage="1" showErrorMessage="1" sqref="C22:C28 D24:D28 E24 F53:I54 E50:E54 F5 E40:E41 F47:I47 E43:E48 D75:D79 C73:C79" xr:uid="{00000000-0002-0000-0C00-000001000000}">
      <formula1>0</formula1>
    </dataValidation>
    <dataValidation type="whole" allowBlank="1" showInputMessage="1" showErrorMessage="1" sqref="E25:E28" xr:uid="{00000000-0002-0000-0C00-000002000000}">
      <formula1>0</formula1>
      <formula2>1</formula2>
    </dataValidation>
    <dataValidation type="decimal" operator="greaterThanOrEqual" allowBlank="1" showInputMessage="1" showErrorMessage="1" sqref="F13:F15" xr:uid="{00000000-0002-0000-0C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K127"/>
  <sheetViews>
    <sheetView topLeftCell="A61"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'Cash Cost Sensitivities (2)'!A30</f>
        <v>1</v>
      </c>
      <c r="G13" s="1"/>
      <c r="H13" s="1"/>
      <c r="I13" s="1"/>
      <c r="J13" s="1"/>
      <c r="K13" s="1"/>
    </row>
    <row r="14" spans="2:11" x14ac:dyDescent="0.35">
      <c r="B14" s="1"/>
      <c r="C14" s="1"/>
      <c r="D14" s="332" t="s">
        <v>62</v>
      </c>
      <c r="E14" s="333"/>
      <c r="F14" s="54">
        <f>'Cash Cost Sensitivities (2)'!B30</f>
        <v>0</v>
      </c>
      <c r="G14" s="1"/>
      <c r="H14" s="1"/>
      <c r="I14" s="1"/>
      <c r="J14" s="1"/>
      <c r="K14" s="1"/>
    </row>
    <row r="15" spans="2:11" x14ac:dyDescent="0.35">
      <c r="B15" s="1"/>
      <c r="C15" s="1"/>
      <c r="D15" s="332" t="s">
        <v>63</v>
      </c>
      <c r="E15" s="333"/>
      <c r="F15" s="66">
        <f>'Cash Cost Sensitivities (2)'!C30</f>
        <v>0</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94723.999999999971</v>
      </c>
      <c r="E61" s="35">
        <f>D68</f>
        <v>202803.99999999994</v>
      </c>
      <c r="F61" s="35">
        <f>E68</f>
        <v>310223.99999999988</v>
      </c>
      <c r="G61" s="35">
        <f>F68</f>
        <v>416961.99999999988</v>
      </c>
      <c r="H61" s="1"/>
      <c r="I61" s="1"/>
      <c r="J61" s="1"/>
      <c r="K61" s="1"/>
    </row>
    <row r="62" spans="2:11" x14ac:dyDescent="0.35">
      <c r="B62" s="12" t="s">
        <v>24</v>
      </c>
      <c r="C62" s="34">
        <f>F90</f>
        <v>136499.99999999997</v>
      </c>
      <c r="D62" s="34">
        <f>F90</f>
        <v>136499.99999999997</v>
      </c>
      <c r="E62" s="34">
        <f>F90</f>
        <v>136499.99999999997</v>
      </c>
      <c r="F62" s="34">
        <f>F90</f>
        <v>136499.99999999997</v>
      </c>
      <c r="G62" s="34">
        <f>F90</f>
        <v>136499.99999999997</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94723.999999999971</v>
      </c>
      <c r="D67" s="34">
        <f>D62-D66</f>
        <v>108079.99999999997</v>
      </c>
      <c r="E67" s="34">
        <f>E62-E66</f>
        <v>107419.99999999997</v>
      </c>
      <c r="F67" s="34">
        <f>F62-F66</f>
        <v>106737.99999999997</v>
      </c>
      <c r="G67" s="34">
        <f>G62-G66</f>
        <v>106037.99999999997</v>
      </c>
      <c r="H67" s="1"/>
      <c r="I67" s="1"/>
      <c r="J67" s="1"/>
      <c r="K67" s="1"/>
    </row>
    <row r="68" spans="2:11" x14ac:dyDescent="0.35">
      <c r="B68" s="12" t="s">
        <v>27</v>
      </c>
      <c r="C68" s="34">
        <f>C61+C67</f>
        <v>94723.999999999971</v>
      </c>
      <c r="D68" s="34">
        <f>D61+D67</f>
        <v>202803.99999999994</v>
      </c>
      <c r="E68" s="34">
        <f>E61+E67</f>
        <v>310223.99999999988</v>
      </c>
      <c r="F68" s="34">
        <f>F61+F67</f>
        <v>416961.99999999988</v>
      </c>
      <c r="G68" s="34">
        <f>G61+G67</f>
        <v>522999.99999999988</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1049999.9999999998</v>
      </c>
      <c r="E86" s="46">
        <f>I7</f>
        <v>0.13</v>
      </c>
      <c r="F86" s="7">
        <f>E86*D86</f>
        <v>136499.99999999997</v>
      </c>
      <c r="G86" s="1"/>
      <c r="H86" s="1"/>
      <c r="I86" s="1"/>
      <c r="J86" s="1"/>
      <c r="K86" s="1"/>
    </row>
    <row r="87" spans="2:11" x14ac:dyDescent="0.35">
      <c r="B87" s="1" t="s">
        <v>35</v>
      </c>
      <c r="C87" s="1"/>
      <c r="D87" s="45">
        <f>F14*D90</f>
        <v>0</v>
      </c>
      <c r="E87" s="46">
        <f>I8</f>
        <v>0.11</v>
      </c>
      <c r="F87" s="7">
        <f>E87*D87</f>
        <v>0</v>
      </c>
      <c r="G87" s="1"/>
      <c r="H87" s="1"/>
      <c r="I87" s="1"/>
      <c r="J87" s="1"/>
      <c r="K87" s="1"/>
    </row>
    <row r="88" spans="2:11" x14ac:dyDescent="0.35">
      <c r="B88" s="1" t="s">
        <v>36</v>
      </c>
      <c r="C88" s="1"/>
      <c r="D88" s="45">
        <f>F15*D90</f>
        <v>0</v>
      </c>
      <c r="E88" s="47">
        <f>I9</f>
        <v>7.0000000000000007E-2</v>
      </c>
      <c r="F88" s="9">
        <f>E88*D88</f>
        <v>0</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136499.99999999997</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94561.999999999971</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0.1613</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87794.533333333296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0.18732871794871794</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whole" allowBlank="1" showInputMessage="1" showErrorMessage="1" sqref="E25:E28" xr:uid="{00000000-0002-0000-0D00-000000000000}">
      <formula1>0</formula1>
      <formula2>1</formula2>
    </dataValidation>
    <dataValidation type="whole" operator="greaterThan" allowBlank="1" showInputMessage="1" showErrorMessage="1" sqref="C22:C28 D24:D28 E24 F53:I54 E50:E54 F5 E40:E41 F47:I47 E43:E48 D75:D79 C73:C79" xr:uid="{00000000-0002-0000-0D00-000001000000}">
      <formula1>0</formula1>
    </dataValidation>
    <dataValidation type="decimal" operator="greaterThan" allowBlank="1" showInputMessage="1" showErrorMessage="1" sqref="I7:I9 I5 F6:F7 F9:F11" xr:uid="{00000000-0002-0000-0D00-000002000000}">
      <formula1>0</formula1>
    </dataValidation>
    <dataValidation type="decimal" operator="greaterThanOrEqual" allowBlank="1" showInputMessage="1" showErrorMessage="1" sqref="F13:F15" xr:uid="{00000000-0002-0000-0D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K127"/>
  <sheetViews>
    <sheetView topLeftCell="A63"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t="str">
        <f>'Cash Cost Sensitivities (2)'!A29</f>
        <v>-</v>
      </c>
      <c r="G13" s="1"/>
      <c r="H13" s="1"/>
      <c r="I13" s="1"/>
      <c r="J13" s="1"/>
      <c r="K13" s="1"/>
    </row>
    <row r="14" spans="2:11" x14ac:dyDescent="0.35">
      <c r="B14" s="1"/>
      <c r="C14" s="1"/>
      <c r="D14" s="332" t="s">
        <v>62</v>
      </c>
      <c r="E14" s="333"/>
      <c r="F14" s="54" t="str">
        <f>'Cash Cost Sensitivities (2)'!B29</f>
        <v>-</v>
      </c>
      <c r="G14" s="1"/>
      <c r="H14" s="1"/>
      <c r="I14" s="1"/>
      <c r="J14" s="1"/>
      <c r="K14" s="1"/>
    </row>
    <row r="15" spans="2:11" x14ac:dyDescent="0.35">
      <c r="B15" s="1"/>
      <c r="C15" s="1"/>
      <c r="D15" s="332" t="s">
        <v>63</v>
      </c>
      <c r="E15" s="333"/>
      <c r="F15" s="66" t="str">
        <f>'Cash Cost Sensitivities (2)'!C29</f>
        <v>-</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t="e">
        <f>C68</f>
        <v>#VALUE!</v>
      </c>
      <c r="E61" s="35" t="e">
        <f>D68</f>
        <v>#VALUE!</v>
      </c>
      <c r="F61" s="35" t="e">
        <f>E68</f>
        <v>#VALUE!</v>
      </c>
      <c r="G61" s="35" t="e">
        <f>F68</f>
        <v>#VALUE!</v>
      </c>
      <c r="H61" s="1"/>
      <c r="I61" s="1"/>
      <c r="J61" s="1"/>
      <c r="K61" s="1"/>
    </row>
    <row r="62" spans="2:11" x14ac:dyDescent="0.35">
      <c r="B62" s="12" t="s">
        <v>24</v>
      </c>
      <c r="C62" s="34" t="e">
        <f>F90</f>
        <v>#VALUE!</v>
      </c>
      <c r="D62" s="34" t="e">
        <f>F90</f>
        <v>#VALUE!</v>
      </c>
      <c r="E62" s="34" t="e">
        <f>F90</f>
        <v>#VALUE!</v>
      </c>
      <c r="F62" s="34" t="e">
        <f>F90</f>
        <v>#VALUE!</v>
      </c>
      <c r="G62" s="34" t="e">
        <f>F90</f>
        <v>#VALUE!</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t="e">
        <f>C62-C66</f>
        <v>#VALUE!</v>
      </c>
      <c r="D67" s="34" t="e">
        <f>D62-D66</f>
        <v>#VALUE!</v>
      </c>
      <c r="E67" s="34" t="e">
        <f>E62-E66</f>
        <v>#VALUE!</v>
      </c>
      <c r="F67" s="34" t="e">
        <f>F62-F66</f>
        <v>#VALUE!</v>
      </c>
      <c r="G67" s="34" t="e">
        <f>G62-G66</f>
        <v>#VALUE!</v>
      </c>
      <c r="H67" s="1"/>
      <c r="I67" s="1"/>
      <c r="J67" s="1"/>
      <c r="K67" s="1"/>
    </row>
    <row r="68" spans="2:11" x14ac:dyDescent="0.35">
      <c r="B68" s="12" t="s">
        <v>27</v>
      </c>
      <c r="C68" s="34" t="e">
        <f>C61+C67</f>
        <v>#VALUE!</v>
      </c>
      <c r="D68" s="34" t="e">
        <f>D61+D67</f>
        <v>#VALUE!</v>
      </c>
      <c r="E68" s="34" t="e">
        <f>E61+E67</f>
        <v>#VALUE!</v>
      </c>
      <c r="F68" s="34" t="e">
        <f>F61+F67</f>
        <v>#VALUE!</v>
      </c>
      <c r="G68" s="34" t="e">
        <f>G61+G67</f>
        <v>#VALUE!</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t="e">
        <f>F13*D90</f>
        <v>#VALUE!</v>
      </c>
      <c r="E86" s="46">
        <f>I7</f>
        <v>0.13</v>
      </c>
      <c r="F86" s="7" t="e">
        <f>E86*D86</f>
        <v>#VALUE!</v>
      </c>
      <c r="G86" s="1"/>
      <c r="H86" s="1"/>
      <c r="I86" s="1"/>
      <c r="J86" s="1"/>
      <c r="K86" s="1"/>
    </row>
    <row r="87" spans="2:11" x14ac:dyDescent="0.35">
      <c r="B87" s="1" t="s">
        <v>35</v>
      </c>
      <c r="C87" s="1"/>
      <c r="D87" s="45" t="e">
        <f>F14*D90</f>
        <v>#VALUE!</v>
      </c>
      <c r="E87" s="46">
        <f>I8</f>
        <v>0.11</v>
      </c>
      <c r="F87" s="7" t="e">
        <f>E87*D87</f>
        <v>#VALUE!</v>
      </c>
      <c r="G87" s="1"/>
      <c r="H87" s="1"/>
      <c r="I87" s="1"/>
      <c r="J87" s="1"/>
      <c r="K87" s="1"/>
    </row>
    <row r="88" spans="2:11" x14ac:dyDescent="0.35">
      <c r="B88" s="1" t="s">
        <v>36</v>
      </c>
      <c r="C88" s="1"/>
      <c r="D88" s="45" t="e">
        <f>F15*D90</f>
        <v>#VALUE!</v>
      </c>
      <c r="E88" s="47">
        <f>I9</f>
        <v>7.0000000000000007E-2</v>
      </c>
      <c r="F88" s="9" t="e">
        <f>E88*D88</f>
        <v>#VALUE!</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t="e">
        <f>SUM(F86:F88)</f>
        <v>#VALUE!</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t="e">
        <f>F90-(F116-F113)</f>
        <v>#VALUE!</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t="e">
        <f>((F116-F113)/(E86*(D86/D90)+E87*(D87/D90)+E88*(D88/D90)))/D93</f>
        <v>#VALUE!</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t="e">
        <f>F90-F116</f>
        <v>#VALUE!</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t="e">
        <f>(F116/(E86*(D86/D90)+E87*(D87/D90)+E88*(D88/D90)))/D93</f>
        <v>#VALUE!</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xr:uid="{00000000-0002-0000-0E00-000000000000}">
      <formula1>0</formula1>
    </dataValidation>
    <dataValidation type="whole" operator="greaterThan" allowBlank="1" showInputMessage="1" showErrorMessage="1" sqref="C22:C28 D24:D28 E24 F53:I54 E50:E54 F5 E40:E41 F47:I47 E43:E48 D75:D79 C73:C79" xr:uid="{00000000-0002-0000-0E00-000001000000}">
      <formula1>0</formula1>
    </dataValidation>
    <dataValidation type="whole" allowBlank="1" showInputMessage="1" showErrorMessage="1" sqref="E25:E28" xr:uid="{00000000-0002-0000-0E00-000002000000}">
      <formula1>0</formula1>
      <formula2>1</formula2>
    </dataValidation>
    <dataValidation type="decimal" operator="greaterThanOrEqual" allowBlank="1" showInputMessage="1" showErrorMessage="1" sqref="F13:F15" xr:uid="{00000000-0002-0000-0E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K127"/>
  <sheetViews>
    <sheetView workbookViewId="0">
      <selection activeCell="F15" sqref="F15"/>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t="str">
        <f>'Cash Cost Sensitivities (2)'!A28</f>
        <v>-</v>
      </c>
      <c r="G13" s="1"/>
      <c r="H13" s="1"/>
      <c r="I13" s="1"/>
      <c r="J13" s="1"/>
      <c r="K13" s="1"/>
    </row>
    <row r="14" spans="2:11" x14ac:dyDescent="0.35">
      <c r="B14" s="1"/>
      <c r="C14" s="1"/>
      <c r="D14" s="332" t="s">
        <v>62</v>
      </c>
      <c r="E14" s="333"/>
      <c r="F14" s="54" t="str">
        <f>'Cash Cost Sensitivities (2)'!B28</f>
        <v>-</v>
      </c>
      <c r="G14" s="1"/>
      <c r="H14" s="1"/>
      <c r="I14" s="1"/>
      <c r="J14" s="1"/>
      <c r="K14" s="1"/>
    </row>
    <row r="15" spans="2:11" x14ac:dyDescent="0.35">
      <c r="B15" s="1"/>
      <c r="C15" s="1"/>
      <c r="D15" s="332" t="s">
        <v>63</v>
      </c>
      <c r="E15" s="333"/>
      <c r="F15" s="66" t="str">
        <f>'Cash Cost Sensitivities (2)'!C28</f>
        <v>-</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t="e">
        <f>C68</f>
        <v>#VALUE!</v>
      </c>
      <c r="E61" s="35" t="e">
        <f>D68</f>
        <v>#VALUE!</v>
      </c>
      <c r="F61" s="35" t="e">
        <f>E68</f>
        <v>#VALUE!</v>
      </c>
      <c r="G61" s="35" t="e">
        <f>F68</f>
        <v>#VALUE!</v>
      </c>
      <c r="H61" s="1"/>
      <c r="I61" s="1"/>
      <c r="J61" s="1"/>
      <c r="K61" s="1"/>
    </row>
    <row r="62" spans="2:11" x14ac:dyDescent="0.35">
      <c r="B62" s="12" t="s">
        <v>24</v>
      </c>
      <c r="C62" s="34" t="e">
        <f>F90</f>
        <v>#VALUE!</v>
      </c>
      <c r="D62" s="34" t="e">
        <f>F90</f>
        <v>#VALUE!</v>
      </c>
      <c r="E62" s="34" t="e">
        <f>F90</f>
        <v>#VALUE!</v>
      </c>
      <c r="F62" s="34" t="e">
        <f>F90</f>
        <v>#VALUE!</v>
      </c>
      <c r="G62" s="34" t="e">
        <f>F90</f>
        <v>#VALUE!</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t="e">
        <f>C62-C66</f>
        <v>#VALUE!</v>
      </c>
      <c r="D67" s="34" t="e">
        <f>D62-D66</f>
        <v>#VALUE!</v>
      </c>
      <c r="E67" s="34" t="e">
        <f>E62-E66</f>
        <v>#VALUE!</v>
      </c>
      <c r="F67" s="34" t="e">
        <f>F62-F66</f>
        <v>#VALUE!</v>
      </c>
      <c r="G67" s="34" t="e">
        <f>G62-G66</f>
        <v>#VALUE!</v>
      </c>
      <c r="H67" s="1"/>
      <c r="I67" s="1"/>
      <c r="J67" s="1"/>
      <c r="K67" s="1"/>
    </row>
    <row r="68" spans="2:11" x14ac:dyDescent="0.35">
      <c r="B68" s="12" t="s">
        <v>27</v>
      </c>
      <c r="C68" s="34" t="e">
        <f>C61+C67</f>
        <v>#VALUE!</v>
      </c>
      <c r="D68" s="34" t="e">
        <f>D61+D67</f>
        <v>#VALUE!</v>
      </c>
      <c r="E68" s="34" t="e">
        <f>E61+E67</f>
        <v>#VALUE!</v>
      </c>
      <c r="F68" s="34" t="e">
        <f>F61+F67</f>
        <v>#VALUE!</v>
      </c>
      <c r="G68" s="34" t="e">
        <f>G61+G67</f>
        <v>#VALUE!</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t="e">
        <f>F13*D90</f>
        <v>#VALUE!</v>
      </c>
      <c r="E86" s="46">
        <f>I7</f>
        <v>0.13</v>
      </c>
      <c r="F86" s="7" t="e">
        <f>E86*D86</f>
        <v>#VALUE!</v>
      </c>
      <c r="G86" s="1"/>
      <c r="H86" s="1"/>
      <c r="I86" s="1"/>
      <c r="J86" s="1"/>
      <c r="K86" s="1"/>
    </row>
    <row r="87" spans="2:11" x14ac:dyDescent="0.35">
      <c r="B87" s="1" t="s">
        <v>35</v>
      </c>
      <c r="C87" s="1"/>
      <c r="D87" s="45" t="e">
        <f>F14*D90</f>
        <v>#VALUE!</v>
      </c>
      <c r="E87" s="46">
        <f>I8</f>
        <v>0.11</v>
      </c>
      <c r="F87" s="7" t="e">
        <f>E87*D87</f>
        <v>#VALUE!</v>
      </c>
      <c r="G87" s="1"/>
      <c r="H87" s="1"/>
      <c r="I87" s="1"/>
      <c r="J87" s="1"/>
      <c r="K87" s="1"/>
    </row>
    <row r="88" spans="2:11" x14ac:dyDescent="0.35">
      <c r="B88" s="1" t="s">
        <v>36</v>
      </c>
      <c r="C88" s="1"/>
      <c r="D88" s="45" t="e">
        <f>F15*D90</f>
        <v>#VALUE!</v>
      </c>
      <c r="E88" s="47">
        <f>I9</f>
        <v>7.0000000000000007E-2</v>
      </c>
      <c r="F88" s="9" t="e">
        <f>E88*D88</f>
        <v>#VALUE!</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t="e">
        <f>SUM(F86:F88)</f>
        <v>#VALUE!</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t="e">
        <f>F90-(F116-F113)</f>
        <v>#VALUE!</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t="e">
        <f>((F116-F113)/(E86*(D86/D90)+E87*(D87/D90)+E88*(D88/D90)))/D93</f>
        <v>#VALUE!</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t="e">
        <f>F90-F116</f>
        <v>#VALUE!</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t="e">
        <f>(F116/(E86*(D86/D90)+E87*(D87/D90)+E88*(D88/D90)))/D93</f>
        <v>#VALUE!</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whole" allowBlank="1" showInputMessage="1" showErrorMessage="1" sqref="E25:E28" xr:uid="{00000000-0002-0000-0F00-000000000000}">
      <formula1>0</formula1>
      <formula2>1</formula2>
    </dataValidation>
    <dataValidation type="whole" operator="greaterThan" allowBlank="1" showInputMessage="1" showErrorMessage="1" sqref="C22:C28 D24:D28 E24 F53:I54 E50:E54 F5 E40:E41 F47:I47 E43:E48 D75:D79 C73:C79" xr:uid="{00000000-0002-0000-0F00-000001000000}">
      <formula1>0</formula1>
    </dataValidation>
    <dataValidation type="decimal" operator="greaterThan" allowBlank="1" showInputMessage="1" showErrorMessage="1" sqref="I7:I9 I5 F6:F7 F9:F11" xr:uid="{00000000-0002-0000-0F00-000002000000}">
      <formula1>0</formula1>
    </dataValidation>
    <dataValidation type="decimal" operator="greaterThanOrEqual" allowBlank="1" showInputMessage="1" showErrorMessage="1" sqref="F13:F15" xr:uid="{00000000-0002-0000-0F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K127"/>
  <sheetViews>
    <sheetView workbookViewId="0">
      <selection activeCell="F15" sqref="F15"/>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Budget!H7</f>
        <v>0.13</v>
      </c>
      <c r="J7" s="1"/>
      <c r="K7" s="1"/>
    </row>
    <row r="8" spans="2:11" x14ac:dyDescent="0.35">
      <c r="B8" s="1"/>
      <c r="C8" s="1"/>
      <c r="D8" s="334" t="s">
        <v>56</v>
      </c>
      <c r="E8" s="335"/>
      <c r="F8" s="53"/>
      <c r="G8" s="1"/>
      <c r="H8" s="16" t="s">
        <v>62</v>
      </c>
      <c r="I8" s="40">
        <f>Budget!H8</f>
        <v>0.11</v>
      </c>
      <c r="J8" s="1"/>
      <c r="K8" s="1"/>
    </row>
    <row r="9" spans="2:11" ht="16" thickBot="1" x14ac:dyDescent="0.4">
      <c r="B9" s="1"/>
      <c r="C9" s="1"/>
      <c r="D9" s="332" t="s">
        <v>57</v>
      </c>
      <c r="E9" s="333"/>
      <c r="F9" s="54">
        <f>Budget!E9</f>
        <v>0.75</v>
      </c>
      <c r="G9" s="1"/>
      <c r="H9" s="39" t="s">
        <v>63</v>
      </c>
      <c r="I9" s="41">
        <f>Budget!H9</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t="str">
        <f>'Cash Cost Sensitivities (2)'!A27</f>
        <v>-</v>
      </c>
      <c r="G13" s="1"/>
      <c r="H13" s="1"/>
      <c r="I13" s="1"/>
      <c r="J13" s="1"/>
      <c r="K13" s="1"/>
    </row>
    <row r="14" spans="2:11" x14ac:dyDescent="0.35">
      <c r="B14" s="1"/>
      <c r="C14" s="1"/>
      <c r="D14" s="332" t="s">
        <v>62</v>
      </c>
      <c r="E14" s="333"/>
      <c r="F14" s="54" t="str">
        <f>'Cash Cost Sensitivities (2)'!B27</f>
        <v>-</v>
      </c>
      <c r="G14" s="1"/>
      <c r="H14" s="1"/>
      <c r="I14" s="1"/>
      <c r="J14" s="1"/>
      <c r="K14" s="1"/>
    </row>
    <row r="15" spans="2:11" x14ac:dyDescent="0.35">
      <c r="B15" s="1"/>
      <c r="C15" s="1"/>
      <c r="D15" s="332" t="s">
        <v>63</v>
      </c>
      <c r="E15" s="333"/>
      <c r="F15" s="66" t="str">
        <f>'Cash Cost Sensitivities (2)'!C27</f>
        <v>-</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t="e">
        <f>C68</f>
        <v>#VALUE!</v>
      </c>
      <c r="E61" s="35" t="e">
        <f>D68</f>
        <v>#VALUE!</v>
      </c>
      <c r="F61" s="35" t="e">
        <f>E68</f>
        <v>#VALUE!</v>
      </c>
      <c r="G61" s="35" t="e">
        <f>F68</f>
        <v>#VALUE!</v>
      </c>
      <c r="H61" s="1"/>
      <c r="I61" s="1"/>
      <c r="J61" s="1"/>
      <c r="K61" s="1"/>
    </row>
    <row r="62" spans="2:11" x14ac:dyDescent="0.35">
      <c r="B62" s="12" t="s">
        <v>24</v>
      </c>
      <c r="C62" s="34" t="e">
        <f>F90</f>
        <v>#VALUE!</v>
      </c>
      <c r="D62" s="34" t="e">
        <f>F90</f>
        <v>#VALUE!</v>
      </c>
      <c r="E62" s="34" t="e">
        <f>F90</f>
        <v>#VALUE!</v>
      </c>
      <c r="F62" s="34" t="e">
        <f>F90</f>
        <v>#VALUE!</v>
      </c>
      <c r="G62" s="34" t="e">
        <f>F90</f>
        <v>#VALUE!</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t="e">
        <f>C62-C66</f>
        <v>#VALUE!</v>
      </c>
      <c r="D67" s="34" t="e">
        <f>D62-D66</f>
        <v>#VALUE!</v>
      </c>
      <c r="E67" s="34" t="e">
        <f>E62-E66</f>
        <v>#VALUE!</v>
      </c>
      <c r="F67" s="34" t="e">
        <f>F62-F66</f>
        <v>#VALUE!</v>
      </c>
      <c r="G67" s="34" t="e">
        <f>G62-G66</f>
        <v>#VALUE!</v>
      </c>
      <c r="H67" s="1"/>
      <c r="I67" s="1"/>
      <c r="J67" s="1"/>
      <c r="K67" s="1"/>
    </row>
    <row r="68" spans="2:11" x14ac:dyDescent="0.35">
      <c r="B68" s="12" t="s">
        <v>27</v>
      </c>
      <c r="C68" s="34" t="e">
        <f>C61+C67</f>
        <v>#VALUE!</v>
      </c>
      <c r="D68" s="34" t="e">
        <f>D61+D67</f>
        <v>#VALUE!</v>
      </c>
      <c r="E68" s="34" t="e">
        <f>E61+E67</f>
        <v>#VALUE!</v>
      </c>
      <c r="F68" s="34" t="e">
        <f>F61+F67</f>
        <v>#VALUE!</v>
      </c>
      <c r="G68" s="34" t="e">
        <f>G61+G67</f>
        <v>#VALUE!</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t="e">
        <f>F13*D90</f>
        <v>#VALUE!</v>
      </c>
      <c r="E86" s="46">
        <f>I7</f>
        <v>0.13</v>
      </c>
      <c r="F86" s="7" t="e">
        <f>E86*D86</f>
        <v>#VALUE!</v>
      </c>
      <c r="G86" s="1"/>
      <c r="H86" s="1"/>
      <c r="I86" s="1"/>
      <c r="J86" s="1"/>
      <c r="K86" s="1"/>
    </row>
    <row r="87" spans="2:11" x14ac:dyDescent="0.35">
      <c r="B87" s="1" t="s">
        <v>35</v>
      </c>
      <c r="C87" s="1"/>
      <c r="D87" s="45" t="e">
        <f>F14*D90</f>
        <v>#VALUE!</v>
      </c>
      <c r="E87" s="46">
        <f>I8</f>
        <v>0.11</v>
      </c>
      <c r="F87" s="7" t="e">
        <f>E87*D87</f>
        <v>#VALUE!</v>
      </c>
      <c r="G87" s="1"/>
      <c r="H87" s="1"/>
      <c r="I87" s="1"/>
      <c r="J87" s="1"/>
      <c r="K87" s="1"/>
    </row>
    <row r="88" spans="2:11" x14ac:dyDescent="0.35">
      <c r="B88" s="1" t="s">
        <v>36</v>
      </c>
      <c r="C88" s="1"/>
      <c r="D88" s="45" t="e">
        <f>F15*D90</f>
        <v>#VALUE!</v>
      </c>
      <c r="E88" s="47">
        <f>I9</f>
        <v>7.0000000000000007E-2</v>
      </c>
      <c r="F88" s="9" t="e">
        <f>E88*D88</f>
        <v>#VALUE!</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t="e">
        <f>SUM(F86:F88)</f>
        <v>#VALUE!</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t="e">
        <f>F90-(F116-F113)</f>
        <v>#VALUE!</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t="e">
        <f>((F116-F113)/(E86*(D86/D90)+E87*(D87/D90)+E88*(D88/D90)))/D93</f>
        <v>#VALUE!</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t="e">
        <f>F90-F116</f>
        <v>#VALUE!</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t="e">
        <f>(F116/(E86*(D86/D90)+E87*(D87/D90)+E88*(D88/D90)))/D93</f>
        <v>#VALUE!</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000-000000000000}">
      <formula1>0</formula1>
    </dataValidation>
    <dataValidation type="whole" operator="greaterThan" allowBlank="1" showInputMessage="1" showErrorMessage="1" sqref="C22:C28 D24:D28 E24 F53:I54 E50:E54 F5 E40:E41 F47:I47 E43:E48 D75:D79 C73:C79" xr:uid="{00000000-0002-0000-1000-000001000000}">
      <formula1>0</formula1>
    </dataValidation>
    <dataValidation type="whole" allowBlank="1" showInputMessage="1" showErrorMessage="1" sqref="E25:E28" xr:uid="{00000000-0002-0000-1000-000002000000}">
      <formula1>0</formula1>
      <formula2>1</formula2>
    </dataValidation>
    <dataValidation type="decimal" operator="greaterThanOrEqual" allowBlank="1" showInputMessage="1" showErrorMessage="1" sqref="F15" xr:uid="{00000000-0002-0000-10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K127"/>
  <sheetViews>
    <sheetView workbookViewId="0">
      <selection activeCell="N21" sqref="N21"/>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(2)'!A17</f>
        <v>0.16</v>
      </c>
      <c r="J7" s="1"/>
      <c r="K7" s="1"/>
    </row>
    <row r="8" spans="2:11" x14ac:dyDescent="0.35">
      <c r="B8" s="1"/>
      <c r="C8" s="1"/>
      <c r="D8" s="334" t="s">
        <v>56</v>
      </c>
      <c r="E8" s="335"/>
      <c r="F8" s="53"/>
      <c r="G8" s="1"/>
      <c r="H8" s="16" t="s">
        <v>62</v>
      </c>
      <c r="I8" s="40">
        <f>'Cash Cost Sensitivities (2)'!B17</f>
        <v>0.14000000000000001</v>
      </c>
      <c r="J8" s="1"/>
      <c r="K8" s="1"/>
    </row>
    <row r="9" spans="2:11" ht="16" thickBot="1" x14ac:dyDescent="0.4">
      <c r="B9" s="1"/>
      <c r="C9" s="1"/>
      <c r="D9" s="332" t="s">
        <v>57</v>
      </c>
      <c r="E9" s="333"/>
      <c r="F9" s="54">
        <f>Budget!E9</f>
        <v>0.75</v>
      </c>
      <c r="G9" s="1"/>
      <c r="H9" s="39" t="s">
        <v>63</v>
      </c>
      <c r="I9" s="41">
        <f>'Cash Cost Sensitivities (2)'!C17</f>
        <v>8.5000000000000006E-2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119136.49999999997</v>
      </c>
      <c r="E61" s="35">
        <f>D68</f>
        <v>251628.99999999994</v>
      </c>
      <c r="F61" s="35">
        <f>E68</f>
        <v>383461.49999999988</v>
      </c>
      <c r="G61" s="35">
        <f>F68</f>
        <v>514611.99999999988</v>
      </c>
      <c r="H61" s="1"/>
      <c r="I61" s="1"/>
      <c r="J61" s="1"/>
      <c r="K61" s="1"/>
    </row>
    <row r="62" spans="2:11" x14ac:dyDescent="0.35">
      <c r="B62" s="12" t="s">
        <v>24</v>
      </c>
      <c r="C62" s="34">
        <f>F90</f>
        <v>160912.49999999997</v>
      </c>
      <c r="D62" s="34">
        <f>F90</f>
        <v>160912.49999999997</v>
      </c>
      <c r="E62" s="34">
        <f>F90</f>
        <v>160912.49999999997</v>
      </c>
      <c r="F62" s="34">
        <f>F90</f>
        <v>160912.49999999997</v>
      </c>
      <c r="G62" s="34">
        <f>F90</f>
        <v>160912.49999999997</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119136.49999999997</v>
      </c>
      <c r="D67" s="34">
        <f>D62-D66</f>
        <v>132492.49999999997</v>
      </c>
      <c r="E67" s="34">
        <f>E62-E66</f>
        <v>131832.49999999997</v>
      </c>
      <c r="F67" s="34">
        <f>F62-F66</f>
        <v>131150.49999999997</v>
      </c>
      <c r="G67" s="34">
        <f>G62-G66</f>
        <v>130450.49999999997</v>
      </c>
      <c r="H67" s="1"/>
      <c r="I67" s="1"/>
      <c r="J67" s="1"/>
      <c r="K67" s="1"/>
    </row>
    <row r="68" spans="2:11" x14ac:dyDescent="0.35">
      <c r="B68" s="12" t="s">
        <v>27</v>
      </c>
      <c r="C68" s="34">
        <f>C61+C67</f>
        <v>119136.49999999997</v>
      </c>
      <c r="D68" s="34">
        <f>D61+D67</f>
        <v>251628.99999999994</v>
      </c>
      <c r="E68" s="34">
        <f>E61+E67</f>
        <v>383461.49999999988</v>
      </c>
      <c r="F68" s="34">
        <f>F61+F67</f>
        <v>514611.99999999988</v>
      </c>
      <c r="G68" s="34">
        <f>G61+G67</f>
        <v>645062.49999999988</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0.16</v>
      </c>
      <c r="F86" s="7">
        <f>E86*D86</f>
        <v>134399.99999999997</v>
      </c>
      <c r="G86" s="1"/>
      <c r="H86" s="1"/>
      <c r="I86" s="1"/>
      <c r="J86" s="1"/>
      <c r="K86" s="1"/>
    </row>
    <row r="87" spans="2:11" x14ac:dyDescent="0.35">
      <c r="B87" s="1" t="s">
        <v>35</v>
      </c>
      <c r="C87" s="1"/>
      <c r="D87" s="45">
        <f>F14*D90</f>
        <v>157499.99999999997</v>
      </c>
      <c r="E87" s="46">
        <f>I8</f>
        <v>0.14000000000000001</v>
      </c>
      <c r="F87" s="7">
        <f>E87*D87</f>
        <v>22049.999999999996</v>
      </c>
      <c r="G87" s="1"/>
      <c r="H87" s="1"/>
      <c r="I87" s="1"/>
      <c r="J87" s="1"/>
      <c r="K87" s="1"/>
    </row>
    <row r="88" spans="2:11" x14ac:dyDescent="0.35">
      <c r="B88" s="1" t="s">
        <v>36</v>
      </c>
      <c r="C88" s="1"/>
      <c r="D88" s="45">
        <f>F15*D90</f>
        <v>52499.999999999993</v>
      </c>
      <c r="E88" s="47">
        <f>I9</f>
        <v>8.5000000000000006E-2</v>
      </c>
      <c r="F88" s="9">
        <f>E88*D88</f>
        <v>4462.5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160912.49999999997</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118974.49999999997</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0.13682871125611745</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112207.0333333333</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0.15890853724850465</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100-000000000000}">
      <formula1>0</formula1>
    </dataValidation>
    <dataValidation type="whole" operator="greaterThan" allowBlank="1" showInputMessage="1" showErrorMessage="1" sqref="C22:C28 D24:D28 E24 F53:I54 E50:E54 F5 E40:E41 F47:I47 E43:E48 D75:D79 C73:C79" xr:uid="{00000000-0002-0000-1100-000001000000}">
      <formula1>0</formula1>
    </dataValidation>
    <dataValidation type="whole" allowBlank="1" showInputMessage="1" showErrorMessage="1" sqref="E25:E28" xr:uid="{00000000-0002-0000-1100-000002000000}">
      <formula1>0</formula1>
      <formula2>1</formula2>
    </dataValidation>
    <dataValidation type="decimal" operator="greaterThanOrEqual" allowBlank="1" showInputMessage="1" showErrorMessage="1" sqref="F15" xr:uid="{00000000-0002-0000-11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K127"/>
  <sheetViews>
    <sheetView topLeftCell="A54"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(2)'!A16</f>
        <v>0.15</v>
      </c>
      <c r="J7" s="1"/>
      <c r="K7" s="1"/>
    </row>
    <row r="8" spans="2:11" x14ac:dyDescent="0.35">
      <c r="B8" s="1"/>
      <c r="C8" s="1"/>
      <c r="D8" s="334" t="s">
        <v>56</v>
      </c>
      <c r="E8" s="335"/>
      <c r="F8" s="53"/>
      <c r="G8" s="1"/>
      <c r="H8" s="16" t="s">
        <v>62</v>
      </c>
      <c r="I8" s="40">
        <f>'Cash Cost Sensitivities (2)'!B16</f>
        <v>0.13</v>
      </c>
      <c r="J8" s="1"/>
      <c r="K8" s="1"/>
    </row>
    <row r="9" spans="2:11" ht="16" thickBot="1" x14ac:dyDescent="0.4">
      <c r="B9" s="1"/>
      <c r="C9" s="1"/>
      <c r="D9" s="332" t="s">
        <v>57</v>
      </c>
      <c r="E9" s="333"/>
      <c r="F9" s="54">
        <f>Budget!E9</f>
        <v>0.75</v>
      </c>
      <c r="G9" s="1"/>
      <c r="H9" s="39" t="s">
        <v>63</v>
      </c>
      <c r="I9" s="41">
        <f>'Cash Cost Sensitivities (2)'!C16</f>
        <v>0.08</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108898.99999999997</v>
      </c>
      <c r="E61" s="35">
        <f>D68</f>
        <v>231153.99999999994</v>
      </c>
      <c r="F61" s="35">
        <f>E68</f>
        <v>352748.99999999988</v>
      </c>
      <c r="G61" s="35">
        <f>F68</f>
        <v>473661.99999999988</v>
      </c>
      <c r="H61" s="1"/>
      <c r="I61" s="1"/>
      <c r="J61" s="1"/>
      <c r="K61" s="1"/>
    </row>
    <row r="62" spans="2:11" x14ac:dyDescent="0.35">
      <c r="B62" s="12" t="s">
        <v>24</v>
      </c>
      <c r="C62" s="34">
        <f>F90</f>
        <v>150674.99999999997</v>
      </c>
      <c r="D62" s="34">
        <f>F90</f>
        <v>150674.99999999997</v>
      </c>
      <c r="E62" s="34">
        <f>F90</f>
        <v>150674.99999999997</v>
      </c>
      <c r="F62" s="34">
        <f>F90</f>
        <v>150674.99999999997</v>
      </c>
      <c r="G62" s="34">
        <f>F90</f>
        <v>150674.99999999997</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108898.99999999997</v>
      </c>
      <c r="D67" s="34">
        <f>D62-D66</f>
        <v>122254.99999999997</v>
      </c>
      <c r="E67" s="34">
        <f>E62-E66</f>
        <v>121594.99999999997</v>
      </c>
      <c r="F67" s="34">
        <f>F62-F66</f>
        <v>120912.99999999997</v>
      </c>
      <c r="G67" s="34">
        <f>G62-G66</f>
        <v>120212.99999999997</v>
      </c>
      <c r="H67" s="1"/>
      <c r="I67" s="1"/>
      <c r="J67" s="1"/>
      <c r="K67" s="1"/>
    </row>
    <row r="68" spans="2:11" x14ac:dyDescent="0.35">
      <c r="B68" s="12" t="s">
        <v>27</v>
      </c>
      <c r="C68" s="34">
        <f>C61+C67</f>
        <v>108898.99999999997</v>
      </c>
      <c r="D68" s="34">
        <f>D61+D67</f>
        <v>231153.99999999994</v>
      </c>
      <c r="E68" s="34">
        <f>E61+E67</f>
        <v>352748.99999999988</v>
      </c>
      <c r="F68" s="34">
        <f>F61+F67</f>
        <v>473661.99999999988</v>
      </c>
      <c r="G68" s="34">
        <f>G61+G67</f>
        <v>593874.99999999988</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0.15</v>
      </c>
      <c r="F86" s="7">
        <f>E86*D86</f>
        <v>125999.99999999997</v>
      </c>
      <c r="G86" s="1"/>
      <c r="H86" s="1"/>
      <c r="I86" s="1"/>
      <c r="J86" s="1"/>
      <c r="K86" s="1"/>
    </row>
    <row r="87" spans="2:11" x14ac:dyDescent="0.35">
      <c r="B87" s="1" t="s">
        <v>35</v>
      </c>
      <c r="C87" s="1"/>
      <c r="D87" s="45">
        <f>F14*D90</f>
        <v>157499.99999999997</v>
      </c>
      <c r="E87" s="46">
        <f>I8</f>
        <v>0.13</v>
      </c>
      <c r="F87" s="7">
        <f>E87*D87</f>
        <v>20474.999999999996</v>
      </c>
      <c r="G87" s="1"/>
      <c r="H87" s="1"/>
      <c r="I87" s="1"/>
      <c r="J87" s="1"/>
      <c r="K87" s="1"/>
    </row>
    <row r="88" spans="2:11" x14ac:dyDescent="0.35">
      <c r="B88" s="1" t="s">
        <v>36</v>
      </c>
      <c r="C88" s="1"/>
      <c r="D88" s="45">
        <f>F15*D90</f>
        <v>52499.999999999993</v>
      </c>
      <c r="E88" s="47">
        <f>I9</f>
        <v>0.08</v>
      </c>
      <c r="F88" s="9">
        <f>E88*D88</f>
        <v>4199.9999999999991</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150674.99999999997</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108736.99999999997</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0.14612543554006971</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101969.5333333333</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0.16970545876887341</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xr:uid="{00000000-0002-0000-1200-000000000000}">
      <formula1>0</formula1>
    </dataValidation>
    <dataValidation type="whole" allowBlank="1" showInputMessage="1" showErrorMessage="1" sqref="E25:E28" xr:uid="{00000000-0002-0000-1200-000001000000}">
      <formula1>0</formula1>
      <formula2>1</formula2>
    </dataValidation>
    <dataValidation type="whole" operator="greaterThan" allowBlank="1" showInputMessage="1" showErrorMessage="1" sqref="C22:C28 D24:D28 E24 F53:I54 E50:E54 F5 E40:E41 F47:I47 E43:E48 D75:D79 C73:C79" xr:uid="{00000000-0002-0000-1200-000002000000}">
      <formula1>0</formula1>
    </dataValidation>
    <dataValidation type="decimal" operator="greaterThan" allowBlank="1" showInputMessage="1" showErrorMessage="1" sqref="I7:I9 I5 F6:F7 F9:F11 F13:F14" xr:uid="{00000000-0002-0000-12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8"/>
  <sheetViews>
    <sheetView zoomScaleNormal="100" workbookViewId="0">
      <selection activeCellId="21" sqref="A19:XFD1048576 E18:XFD18 A18:B18 A17:XFD17 E16:XFD16 A16:B16 A15:XFD15 E14:XFD14 A14:B14 A13:XFD13 E12:XFD12 A12:B12 A11:XFD11 E10:XFD10 A10:B10 A9:XFD9 E8:XFD8 A8:B8 A7:XFD7 E6:XFD6 A6:B6 A1:XFD5"/>
    </sheetView>
  </sheetViews>
  <sheetFormatPr defaultColWidth="11" defaultRowHeight="15.5" x14ac:dyDescent="0.35"/>
  <cols>
    <col min="1" max="1" width="12" customWidth="1"/>
    <col min="2" max="2" width="41.5" customWidth="1"/>
    <col min="3" max="4" width="7.5" bestFit="1" customWidth="1"/>
    <col min="5" max="5" width="12" customWidth="1"/>
  </cols>
  <sheetData>
    <row r="3" spans="2:5" ht="16" thickBot="1" x14ac:dyDescent="0.4"/>
    <row r="4" spans="2:5" ht="26.5" thickBot="1" x14ac:dyDescent="0.65">
      <c r="B4" s="283" t="s">
        <v>113</v>
      </c>
      <c r="C4" s="284"/>
      <c r="D4" s="285"/>
    </row>
    <row r="5" spans="2:5" x14ac:dyDescent="0.35">
      <c r="B5" s="96" t="s">
        <v>127</v>
      </c>
      <c r="C5" s="294" t="s">
        <v>128</v>
      </c>
      <c r="D5" s="295"/>
    </row>
    <row r="6" spans="2:5" ht="22" customHeight="1" x14ac:dyDescent="0.35">
      <c r="B6" s="98" t="s">
        <v>139</v>
      </c>
      <c r="C6" s="292">
        <v>2024</v>
      </c>
      <c r="D6" s="293"/>
      <c r="E6" s="281" t="s">
        <v>164</v>
      </c>
    </row>
    <row r="7" spans="2:5" ht="18" customHeight="1" x14ac:dyDescent="0.35">
      <c r="B7" s="286"/>
      <c r="C7" s="287"/>
      <c r="D7" s="288"/>
      <c r="E7" s="281"/>
    </row>
    <row r="8" spans="2:5" ht="38.15" customHeight="1" x14ac:dyDescent="0.35">
      <c r="B8" s="99" t="s">
        <v>147</v>
      </c>
      <c r="C8" s="292"/>
      <c r="D8" s="293"/>
      <c r="E8" s="281" t="s">
        <v>162</v>
      </c>
    </row>
    <row r="9" spans="2:5" ht="18" customHeight="1" x14ac:dyDescent="0.35">
      <c r="B9" s="289"/>
      <c r="C9" s="290"/>
      <c r="D9" s="291"/>
      <c r="E9" s="281"/>
    </row>
    <row r="10" spans="2:5" ht="48" customHeight="1" x14ac:dyDescent="0.35">
      <c r="B10" s="100" t="s">
        <v>140</v>
      </c>
      <c r="C10" s="292"/>
      <c r="D10" s="293"/>
      <c r="E10" s="281" t="s">
        <v>163</v>
      </c>
    </row>
    <row r="11" spans="2:5" ht="18" customHeight="1" x14ac:dyDescent="0.35">
      <c r="B11" s="101"/>
      <c r="C11" s="102"/>
      <c r="D11" s="103"/>
      <c r="E11" s="281"/>
    </row>
    <row r="12" spans="2:5" ht="46.5" x14ac:dyDescent="0.35">
      <c r="B12" s="104" t="s">
        <v>148</v>
      </c>
      <c r="C12" s="292"/>
      <c r="D12" s="293"/>
      <c r="E12" s="281" t="s">
        <v>162</v>
      </c>
    </row>
    <row r="13" spans="2:5" x14ac:dyDescent="0.35">
      <c r="B13" s="301"/>
      <c r="C13" s="302"/>
      <c r="D13" s="303"/>
      <c r="E13" s="281"/>
    </row>
    <row r="14" spans="2:5" ht="45" customHeight="1" x14ac:dyDescent="0.35">
      <c r="B14" s="100" t="s">
        <v>141</v>
      </c>
      <c r="C14" s="292"/>
      <c r="D14" s="293"/>
      <c r="E14" s="281" t="s">
        <v>163</v>
      </c>
    </row>
    <row r="15" spans="2:5" x14ac:dyDescent="0.35">
      <c r="B15" s="298"/>
      <c r="C15" s="299"/>
      <c r="D15" s="300"/>
      <c r="E15" s="281"/>
    </row>
    <row r="16" spans="2:5" ht="31" x14ac:dyDescent="0.35">
      <c r="B16" s="105" t="s">
        <v>149</v>
      </c>
      <c r="C16" s="292"/>
      <c r="D16" s="293"/>
      <c r="E16" s="281" t="s">
        <v>162</v>
      </c>
    </row>
    <row r="17" spans="2:5" x14ac:dyDescent="0.35">
      <c r="B17" s="304"/>
      <c r="C17" s="305"/>
      <c r="D17" s="306"/>
      <c r="E17" s="281"/>
    </row>
    <row r="18" spans="2:5" ht="48" customHeight="1" thickBot="1" x14ac:dyDescent="0.4">
      <c r="B18" s="106" t="s">
        <v>142</v>
      </c>
      <c r="C18" s="296"/>
      <c r="D18" s="297"/>
      <c r="E18" s="281" t="s">
        <v>163</v>
      </c>
    </row>
  </sheetData>
  <sheetProtection algorithmName="SHA-512" hashValue="qtaDuUrbccsyFgqvBi+TC4tEREvL13tihARdhv2nSZE6EYCPn2Pa++jJ7pVyHF/O+1QUd1R6hzXbI1as44WDPw==" saltValue="gHiOCIA27OGxxOnyIvq10A==" spinCount="100000" sheet="1" objects="1" scenarios="1"/>
  <mergeCells count="14">
    <mergeCell ref="C18:D18"/>
    <mergeCell ref="C16:D16"/>
    <mergeCell ref="B15:D15"/>
    <mergeCell ref="C12:D12"/>
    <mergeCell ref="C10:D10"/>
    <mergeCell ref="B13:D13"/>
    <mergeCell ref="C14:D14"/>
    <mergeCell ref="B17:D17"/>
    <mergeCell ref="B4:D4"/>
    <mergeCell ref="B7:D7"/>
    <mergeCell ref="B9:D9"/>
    <mergeCell ref="C6:D6"/>
    <mergeCell ref="C8:D8"/>
    <mergeCell ref="C5:D5"/>
  </mergeCells>
  <phoneticPr fontId="5" type="noConversion"/>
  <dataValidations count="1">
    <dataValidation type="textLength" operator="equal" showInputMessage="1" showErrorMessage="1" errorTitle="Please Enter the Current Year" error="Use the Form (yyyy)_x000a_Example: 2014" sqref="C6:D6" xr:uid="{00000000-0002-0000-0100-000000000000}">
      <formula1>4</formula1>
    </dataValidation>
  </dataValidations>
  <pageMargins left="0.75" right="0.75" top="1" bottom="1" header="0.5" footer="0.5"/>
  <pageSetup orientation="portrait" horizontalDpi="4294967292" verticalDpi="4294967292"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K127"/>
  <sheetViews>
    <sheetView topLeftCell="A47" workbookViewId="0">
      <selection activeCell="L79" sqref="L79"/>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(2)'!A15</f>
        <v>0.14000000000000001</v>
      </c>
      <c r="J7" s="1"/>
      <c r="K7" s="1"/>
    </row>
    <row r="8" spans="2:11" x14ac:dyDescent="0.35">
      <c r="B8" s="1"/>
      <c r="C8" s="1"/>
      <c r="D8" s="334" t="s">
        <v>56</v>
      </c>
      <c r="E8" s="335"/>
      <c r="F8" s="53"/>
      <c r="G8" s="1"/>
      <c r="H8" s="16" t="s">
        <v>62</v>
      </c>
      <c r="I8" s="40">
        <f>'Cash Cost Sensitivities (2)'!B15</f>
        <v>0.12</v>
      </c>
      <c r="J8" s="1"/>
      <c r="K8" s="1"/>
    </row>
    <row r="9" spans="2:11" ht="16" thickBot="1" x14ac:dyDescent="0.4">
      <c r="B9" s="1"/>
      <c r="C9" s="1"/>
      <c r="D9" s="332" t="s">
        <v>57</v>
      </c>
      <c r="E9" s="333"/>
      <c r="F9" s="54">
        <f>Budget!E9</f>
        <v>0.75</v>
      </c>
      <c r="G9" s="1"/>
      <c r="H9" s="39" t="s">
        <v>63</v>
      </c>
      <c r="I9" s="41">
        <f>'Cash Cost Sensitivities (2)'!C15</f>
        <v>7.5000000000000011E-2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98661.5</v>
      </c>
      <c r="E61" s="35">
        <f>D68</f>
        <v>210679</v>
      </c>
      <c r="F61" s="35">
        <f>E68</f>
        <v>322036.5</v>
      </c>
      <c r="G61" s="35">
        <f>F68</f>
        <v>432712</v>
      </c>
      <c r="H61" s="1"/>
      <c r="I61" s="1"/>
      <c r="J61" s="1"/>
      <c r="K61" s="1"/>
    </row>
    <row r="62" spans="2:11" x14ac:dyDescent="0.35">
      <c r="B62" s="12" t="s">
        <v>24</v>
      </c>
      <c r="C62" s="34">
        <f>F90</f>
        <v>140437.5</v>
      </c>
      <c r="D62" s="34">
        <f>F90</f>
        <v>140437.5</v>
      </c>
      <c r="E62" s="34">
        <f>F90</f>
        <v>140437.5</v>
      </c>
      <c r="F62" s="34">
        <f>F90</f>
        <v>140437.5</v>
      </c>
      <c r="G62" s="34">
        <f>F90</f>
        <v>140437.5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98661.5</v>
      </c>
      <c r="D67" s="34">
        <f>D62-D66</f>
        <v>112017.5</v>
      </c>
      <c r="E67" s="34">
        <f>E62-E66</f>
        <v>111357.5</v>
      </c>
      <c r="F67" s="34">
        <f>F62-F66</f>
        <v>110675.5</v>
      </c>
      <c r="G67" s="34">
        <f>G62-G66</f>
        <v>109975.5</v>
      </c>
      <c r="H67" s="1"/>
      <c r="I67" s="1"/>
      <c r="J67" s="1"/>
      <c r="K67" s="1"/>
    </row>
    <row r="68" spans="2:11" x14ac:dyDescent="0.35">
      <c r="B68" s="12" t="s">
        <v>27</v>
      </c>
      <c r="C68" s="34">
        <f>C61+C67</f>
        <v>98661.5</v>
      </c>
      <c r="D68" s="34">
        <f>D61+D67</f>
        <v>210679</v>
      </c>
      <c r="E68" s="34">
        <f>E61+E67</f>
        <v>322036.5</v>
      </c>
      <c r="F68" s="34">
        <f>F61+F67</f>
        <v>432712</v>
      </c>
      <c r="G68" s="34">
        <f>G61+G67</f>
        <v>542687.5</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0.14000000000000001</v>
      </c>
      <c r="F86" s="7">
        <f>E86*D86</f>
        <v>117600</v>
      </c>
      <c r="G86" s="1"/>
      <c r="H86" s="1"/>
      <c r="I86" s="1"/>
      <c r="J86" s="1"/>
      <c r="K86" s="1"/>
    </row>
    <row r="87" spans="2:11" x14ac:dyDescent="0.35">
      <c r="B87" s="1" t="s">
        <v>35</v>
      </c>
      <c r="C87" s="1"/>
      <c r="D87" s="45">
        <f>F14*D90</f>
        <v>157499.99999999997</v>
      </c>
      <c r="E87" s="46">
        <f>I8</f>
        <v>0.12</v>
      </c>
      <c r="F87" s="7">
        <f>E87*D87</f>
        <v>18899.999999999996</v>
      </c>
      <c r="G87" s="1"/>
      <c r="H87" s="1"/>
      <c r="I87" s="1"/>
      <c r="J87" s="1"/>
      <c r="K87" s="1"/>
    </row>
    <row r="88" spans="2:11" x14ac:dyDescent="0.35">
      <c r="B88" s="1" t="s">
        <v>36</v>
      </c>
      <c r="C88" s="1"/>
      <c r="D88" s="45">
        <f>F15*D90</f>
        <v>52499.999999999993</v>
      </c>
      <c r="E88" s="47">
        <f>I9</f>
        <v>7.5000000000000011E-2</v>
      </c>
      <c r="F88" s="9">
        <f>E88*D88</f>
        <v>3937.5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140437.5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98499.5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0.15677757009345794</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91732.033333333326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0.1820765109034268</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300-000000000000}">
      <formula1>0</formula1>
    </dataValidation>
    <dataValidation type="whole" operator="greaterThan" allowBlank="1" showInputMessage="1" showErrorMessage="1" sqref="C22:C28 D24:D28 E24 F53:I54 E50:E54 F5 E40:E41 F47:I47 E43:E48 D75:D79 C73:C79" xr:uid="{00000000-0002-0000-1300-000001000000}">
      <formula1>0</formula1>
    </dataValidation>
    <dataValidation type="whole" allowBlank="1" showInputMessage="1" showErrorMessage="1" sqref="E25:E28" xr:uid="{00000000-0002-0000-1300-000002000000}">
      <formula1>0</formula1>
      <formula2>1</formula2>
    </dataValidation>
    <dataValidation type="decimal" operator="greaterThanOrEqual" allowBlank="1" showInputMessage="1" showErrorMessage="1" sqref="F15" xr:uid="{00000000-0002-0000-13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K127"/>
  <sheetViews>
    <sheetView topLeftCell="A57" workbookViewId="0">
      <selection activeCell="M82" sqref="M82"/>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(2)'!A14</f>
        <v>0.13</v>
      </c>
      <c r="J7" s="1"/>
      <c r="K7" s="1"/>
    </row>
    <row r="8" spans="2:11" x14ac:dyDescent="0.35">
      <c r="B8" s="1"/>
      <c r="C8" s="1"/>
      <c r="D8" s="334" t="s">
        <v>56</v>
      </c>
      <c r="E8" s="335"/>
      <c r="F8" s="53"/>
      <c r="G8" s="1"/>
      <c r="H8" s="16" t="s">
        <v>62</v>
      </c>
      <c r="I8" s="40">
        <f>'Cash Cost Sensitivities (2)'!B14</f>
        <v>0.11</v>
      </c>
      <c r="J8" s="1"/>
      <c r="K8" s="1"/>
    </row>
    <row r="9" spans="2:11" ht="16" thickBot="1" x14ac:dyDescent="0.4">
      <c r="B9" s="1"/>
      <c r="C9" s="1"/>
      <c r="D9" s="332" t="s">
        <v>57</v>
      </c>
      <c r="E9" s="333"/>
      <c r="F9" s="54">
        <f>Budget!E9</f>
        <v>0.75</v>
      </c>
      <c r="G9" s="1"/>
      <c r="H9" s="39" t="s">
        <v>63</v>
      </c>
      <c r="I9" s="41">
        <f>'Cash Cost Sensitivities (2)'!C14</f>
        <v>7.0000000000000007E-2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88423.999999999985</v>
      </c>
      <c r="E61" s="35">
        <f>D68</f>
        <v>190203.99999999997</v>
      </c>
      <c r="F61" s="35">
        <f>E68</f>
        <v>291323.99999999994</v>
      </c>
      <c r="G61" s="35">
        <f>F68</f>
        <v>391761.99999999994</v>
      </c>
      <c r="H61" s="1"/>
      <c r="I61" s="1"/>
      <c r="J61" s="1"/>
      <c r="K61" s="1"/>
    </row>
    <row r="62" spans="2:11" x14ac:dyDescent="0.35">
      <c r="B62" s="12" t="s">
        <v>24</v>
      </c>
      <c r="C62" s="34">
        <f>F90</f>
        <v>130199.99999999999</v>
      </c>
      <c r="D62" s="34">
        <f>F90</f>
        <v>130199.99999999999</v>
      </c>
      <c r="E62" s="34">
        <f>F90</f>
        <v>130199.99999999999</v>
      </c>
      <c r="F62" s="34">
        <f>F90</f>
        <v>130199.99999999999</v>
      </c>
      <c r="G62" s="34">
        <f>F90</f>
        <v>130199.99999999999</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88423.999999999985</v>
      </c>
      <c r="D67" s="34">
        <f>D62-D66</f>
        <v>101779.99999999999</v>
      </c>
      <c r="E67" s="34">
        <f>E62-E66</f>
        <v>101119.99999999999</v>
      </c>
      <c r="F67" s="34">
        <f>F62-F66</f>
        <v>100437.99999999999</v>
      </c>
      <c r="G67" s="34">
        <f>G62-G66</f>
        <v>99737.999999999985</v>
      </c>
      <c r="H67" s="1"/>
      <c r="I67" s="1"/>
      <c r="J67" s="1"/>
      <c r="K67" s="1"/>
    </row>
    <row r="68" spans="2:11" x14ac:dyDescent="0.35">
      <c r="B68" s="12" t="s">
        <v>27</v>
      </c>
      <c r="C68" s="34">
        <f>C61+C67</f>
        <v>88423.999999999985</v>
      </c>
      <c r="D68" s="34">
        <f>D61+D67</f>
        <v>190203.99999999997</v>
      </c>
      <c r="E68" s="34">
        <f>E61+E67</f>
        <v>291323.99999999994</v>
      </c>
      <c r="F68" s="34">
        <f>F61+F67</f>
        <v>391761.99999999994</v>
      </c>
      <c r="G68" s="34">
        <f>G61+G67</f>
        <v>491499.99999999994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0.13</v>
      </c>
      <c r="F86" s="7">
        <f>E86*D86</f>
        <v>109199.99999999999</v>
      </c>
      <c r="G86" s="1"/>
      <c r="H86" s="1"/>
      <c r="I86" s="1"/>
      <c r="J86" s="1"/>
      <c r="K86" s="1"/>
    </row>
    <row r="87" spans="2:11" x14ac:dyDescent="0.35">
      <c r="B87" s="1" t="s">
        <v>35</v>
      </c>
      <c r="C87" s="1"/>
      <c r="D87" s="45">
        <f>F14*D90</f>
        <v>157499.99999999997</v>
      </c>
      <c r="E87" s="46">
        <f>I8</f>
        <v>0.11</v>
      </c>
      <c r="F87" s="7">
        <f>E87*D87</f>
        <v>17324.999999999996</v>
      </c>
      <c r="G87" s="1"/>
      <c r="H87" s="1"/>
      <c r="I87" s="1"/>
      <c r="J87" s="1"/>
      <c r="K87" s="1"/>
    </row>
    <row r="88" spans="2:11" x14ac:dyDescent="0.35">
      <c r="B88" s="1" t="s">
        <v>36</v>
      </c>
      <c r="C88" s="1"/>
      <c r="D88" s="45">
        <f>F15*D90</f>
        <v>52499.999999999993</v>
      </c>
      <c r="E88" s="47">
        <f>I9</f>
        <v>7.0000000000000007E-2</v>
      </c>
      <c r="F88" s="9">
        <f>E88*D88</f>
        <v>3675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130199.99999999999</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88261.999999999985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0.16910483870967741</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81494.533333333326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0.19639301075268817</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xr:uid="{00000000-0002-0000-1400-000000000000}">
      <formula1>0</formula1>
    </dataValidation>
    <dataValidation type="whole" allowBlank="1" showInputMessage="1" showErrorMessage="1" sqref="E25:E28" xr:uid="{00000000-0002-0000-1400-000001000000}">
      <formula1>0</formula1>
      <formula2>1</formula2>
    </dataValidation>
    <dataValidation type="whole" operator="greaterThan" allowBlank="1" showInputMessage="1" showErrorMessage="1" sqref="C22:C28 D24:D28 E24 F53:I54 E50:E54 F5 E40:E41 F47:I47 E43:E48 D75:D79 C73:C79" xr:uid="{00000000-0002-0000-1400-000002000000}">
      <formula1>0</formula1>
    </dataValidation>
    <dataValidation type="decimal" operator="greaterThan" allowBlank="1" showInputMessage="1" showErrorMessage="1" sqref="I7:I9 I5 F6:F7 F9:F11 F13:F14" xr:uid="{00000000-0002-0000-14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K127"/>
  <sheetViews>
    <sheetView topLeftCell="A65"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(2)'!A13</f>
        <v>0.12000000000000001</v>
      </c>
      <c r="J7" s="1"/>
      <c r="K7" s="1"/>
    </row>
    <row r="8" spans="2:11" x14ac:dyDescent="0.35">
      <c r="B8" s="1"/>
      <c r="C8" s="1"/>
      <c r="D8" s="334" t="s">
        <v>56</v>
      </c>
      <c r="E8" s="335"/>
      <c r="F8" s="53"/>
      <c r="G8" s="1"/>
      <c r="H8" s="16" t="s">
        <v>62</v>
      </c>
      <c r="I8" s="40">
        <f>'Cash Cost Sensitivities (2)'!B13</f>
        <v>0.1</v>
      </c>
      <c r="J8" s="1"/>
      <c r="K8" s="1"/>
    </row>
    <row r="9" spans="2:11" ht="16" thickBot="1" x14ac:dyDescent="0.4">
      <c r="B9" s="1"/>
      <c r="C9" s="1"/>
      <c r="D9" s="332" t="s">
        <v>57</v>
      </c>
      <c r="E9" s="333"/>
      <c r="F9" s="54">
        <f>Budget!E9</f>
        <v>0.75</v>
      </c>
      <c r="G9" s="1"/>
      <c r="H9" s="39" t="s">
        <v>63</v>
      </c>
      <c r="I9" s="41">
        <f>'Cash Cost Sensitivities (2)'!C13</f>
        <v>6.5000000000000002E-2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78186.5</v>
      </c>
      <c r="E61" s="35">
        <f>D68</f>
        <v>169729</v>
      </c>
      <c r="F61" s="35">
        <f>E68</f>
        <v>260611.5</v>
      </c>
      <c r="G61" s="35">
        <f>F68</f>
        <v>350812</v>
      </c>
      <c r="H61" s="1"/>
      <c r="I61" s="1"/>
      <c r="J61" s="1"/>
      <c r="K61" s="1"/>
    </row>
    <row r="62" spans="2:11" x14ac:dyDescent="0.35">
      <c r="B62" s="12" t="s">
        <v>24</v>
      </c>
      <c r="C62" s="34">
        <f>F90</f>
        <v>119962.5</v>
      </c>
      <c r="D62" s="34">
        <f>F90</f>
        <v>119962.5</v>
      </c>
      <c r="E62" s="34">
        <f>F90</f>
        <v>119962.5</v>
      </c>
      <c r="F62" s="34">
        <f>F90</f>
        <v>119962.5</v>
      </c>
      <c r="G62" s="34">
        <f>F90</f>
        <v>119962.5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78186.5</v>
      </c>
      <c r="D67" s="34">
        <f>D62-D66</f>
        <v>91542.5</v>
      </c>
      <c r="E67" s="34">
        <f>E62-E66</f>
        <v>90882.5</v>
      </c>
      <c r="F67" s="34">
        <f>F62-F66</f>
        <v>90200.5</v>
      </c>
      <c r="G67" s="34">
        <f>G62-G66</f>
        <v>89500.5</v>
      </c>
      <c r="H67" s="1"/>
      <c r="I67" s="1"/>
      <c r="J67" s="1"/>
      <c r="K67" s="1"/>
    </row>
    <row r="68" spans="2:11" x14ac:dyDescent="0.35">
      <c r="B68" s="12" t="s">
        <v>27</v>
      </c>
      <c r="C68" s="34">
        <f>C61+C67</f>
        <v>78186.5</v>
      </c>
      <c r="D68" s="34">
        <f>D61+D67</f>
        <v>169729</v>
      </c>
      <c r="E68" s="34">
        <f>E61+E67</f>
        <v>260611.5</v>
      </c>
      <c r="F68" s="34">
        <f>F61+F67</f>
        <v>350812</v>
      </c>
      <c r="G68" s="34">
        <f>G61+G67</f>
        <v>440312.5</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0.12000000000000001</v>
      </c>
      <c r="F86" s="7">
        <f>E86*D86</f>
        <v>100800</v>
      </c>
      <c r="G86" s="1"/>
      <c r="H86" s="1"/>
      <c r="I86" s="1"/>
      <c r="J86" s="1"/>
      <c r="K86" s="1"/>
    </row>
    <row r="87" spans="2:11" x14ac:dyDescent="0.35">
      <c r="B87" s="1" t="s">
        <v>35</v>
      </c>
      <c r="C87" s="1"/>
      <c r="D87" s="45">
        <f>F14*D90</f>
        <v>157499.99999999997</v>
      </c>
      <c r="E87" s="46">
        <f>I8</f>
        <v>0.1</v>
      </c>
      <c r="F87" s="7">
        <f>E87*D87</f>
        <v>15749.999999999998</v>
      </c>
      <c r="G87" s="1"/>
      <c r="H87" s="1"/>
      <c r="I87" s="1"/>
      <c r="J87" s="1"/>
      <c r="K87" s="1"/>
    </row>
    <row r="88" spans="2:11" x14ac:dyDescent="0.35">
      <c r="B88" s="1" t="s">
        <v>36</v>
      </c>
      <c r="C88" s="1"/>
      <c r="D88" s="45">
        <f>F15*D90</f>
        <v>52499.999999999993</v>
      </c>
      <c r="E88" s="47">
        <f>I9</f>
        <v>6.5000000000000002E-2</v>
      </c>
      <c r="F88" s="9">
        <f>E88*D88</f>
        <v>3412.4999999999995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119962.5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78024.5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0.18353610503282272</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71257.033333333326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0.21315302698760025</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500-000000000000}">
      <formula1>0</formula1>
    </dataValidation>
    <dataValidation type="whole" operator="greaterThan" allowBlank="1" showInputMessage="1" showErrorMessage="1" sqref="C22:C28 D24:D28 E24 F53:I54 E50:E54 F5 E40:E41 F47:I47 E43:E48 D75:D79 C73:C79" xr:uid="{00000000-0002-0000-1500-000001000000}">
      <formula1>0</formula1>
    </dataValidation>
    <dataValidation type="whole" allowBlank="1" showInputMessage="1" showErrorMessage="1" sqref="E25:E28" xr:uid="{00000000-0002-0000-1500-000002000000}">
      <formula1>0</formula1>
      <formula2>1</formula2>
    </dataValidation>
    <dataValidation type="decimal" operator="greaterThanOrEqual" allowBlank="1" showInputMessage="1" showErrorMessage="1" sqref="F15" xr:uid="{00000000-0002-0000-15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K127"/>
  <sheetViews>
    <sheetView topLeftCell="A54"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(2)'!A12</f>
        <v>0.11</v>
      </c>
      <c r="J7" s="1"/>
      <c r="K7" s="1"/>
    </row>
    <row r="8" spans="2:11" x14ac:dyDescent="0.35">
      <c r="B8" s="1"/>
      <c r="C8" s="1"/>
      <c r="D8" s="334" t="s">
        <v>56</v>
      </c>
      <c r="E8" s="335"/>
      <c r="F8" s="53"/>
      <c r="G8" s="1"/>
      <c r="H8" s="16" t="s">
        <v>62</v>
      </c>
      <c r="I8" s="40">
        <f>'Cash Cost Sensitivities (2)'!B12</f>
        <v>0.09</v>
      </c>
      <c r="J8" s="1"/>
      <c r="K8" s="1"/>
    </row>
    <row r="9" spans="2:11" ht="16" thickBot="1" x14ac:dyDescent="0.4">
      <c r="B9" s="1"/>
      <c r="C9" s="1"/>
      <c r="D9" s="332" t="s">
        <v>57</v>
      </c>
      <c r="E9" s="333"/>
      <c r="F9" s="54">
        <f>Budget!E9</f>
        <v>0.75</v>
      </c>
      <c r="G9" s="1"/>
      <c r="H9" s="39" t="s">
        <v>63</v>
      </c>
      <c r="I9" s="41">
        <f>'Cash Cost Sensitivities (2)'!C12</f>
        <v>6.0000000000000005E-2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67948.999999999985</v>
      </c>
      <c r="E61" s="35">
        <f>D68</f>
        <v>149253.99999999997</v>
      </c>
      <c r="F61" s="35">
        <f>E68</f>
        <v>229898.99999999994</v>
      </c>
      <c r="G61" s="35">
        <f>F68</f>
        <v>309861.99999999994</v>
      </c>
      <c r="H61" s="1"/>
      <c r="I61" s="1"/>
      <c r="J61" s="1"/>
      <c r="K61" s="1"/>
    </row>
    <row r="62" spans="2:11" x14ac:dyDescent="0.35">
      <c r="B62" s="12" t="s">
        <v>24</v>
      </c>
      <c r="C62" s="34">
        <f>F90</f>
        <v>109724.99999999999</v>
      </c>
      <c r="D62" s="34">
        <f>F90</f>
        <v>109724.99999999999</v>
      </c>
      <c r="E62" s="34">
        <f>F90</f>
        <v>109724.99999999999</v>
      </c>
      <c r="F62" s="34">
        <f>F90</f>
        <v>109724.99999999999</v>
      </c>
      <c r="G62" s="34">
        <f>F90</f>
        <v>109724.99999999999</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67948.999999999985</v>
      </c>
      <c r="D67" s="34">
        <f>D62-D66</f>
        <v>81304.999999999985</v>
      </c>
      <c r="E67" s="34">
        <f>E62-E66</f>
        <v>80644.999999999985</v>
      </c>
      <c r="F67" s="34">
        <f>F62-F66</f>
        <v>79962.999999999985</v>
      </c>
      <c r="G67" s="34">
        <f>G62-G66</f>
        <v>79262.999999999985</v>
      </c>
      <c r="H67" s="1"/>
      <c r="I67" s="1"/>
      <c r="J67" s="1"/>
      <c r="K67" s="1"/>
    </row>
    <row r="68" spans="2:11" x14ac:dyDescent="0.35">
      <c r="B68" s="12" t="s">
        <v>27</v>
      </c>
      <c r="C68" s="34">
        <f>C61+C67</f>
        <v>67948.999999999985</v>
      </c>
      <c r="D68" s="34">
        <f>D61+D67</f>
        <v>149253.99999999997</v>
      </c>
      <c r="E68" s="34">
        <f>E61+E67</f>
        <v>229898.99999999994</v>
      </c>
      <c r="F68" s="34">
        <f>F61+F67</f>
        <v>309861.99999999994</v>
      </c>
      <c r="G68" s="34">
        <f>G61+G67</f>
        <v>389124.99999999994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0.11</v>
      </c>
      <c r="F86" s="7">
        <f>E86*D86</f>
        <v>92399.999999999985</v>
      </c>
      <c r="G86" s="1"/>
      <c r="H86" s="1"/>
      <c r="I86" s="1"/>
      <c r="J86" s="1"/>
      <c r="K86" s="1"/>
    </row>
    <row r="87" spans="2:11" x14ac:dyDescent="0.35">
      <c r="B87" s="1" t="s">
        <v>35</v>
      </c>
      <c r="C87" s="1"/>
      <c r="D87" s="45">
        <f>F14*D90</f>
        <v>157499.99999999997</v>
      </c>
      <c r="E87" s="46">
        <f>I8</f>
        <v>0.09</v>
      </c>
      <c r="F87" s="7">
        <f>E87*D87</f>
        <v>14174.999999999996</v>
      </c>
      <c r="G87" s="1"/>
      <c r="H87" s="1"/>
      <c r="I87" s="1"/>
      <c r="J87" s="1"/>
      <c r="K87" s="1"/>
    </row>
    <row r="88" spans="2:11" x14ac:dyDescent="0.35">
      <c r="B88" s="1" t="s">
        <v>36</v>
      </c>
      <c r="C88" s="1"/>
      <c r="D88" s="45">
        <f>F15*D90</f>
        <v>52499.999999999993</v>
      </c>
      <c r="E88" s="47">
        <f>I9</f>
        <v>6.0000000000000005E-2</v>
      </c>
      <c r="F88" s="9">
        <f>E88*D88</f>
        <v>3150</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109724.99999999999</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67786.999999999985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0.20066028708133968</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61019.533333333318</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0.23304051036682613</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xr:uid="{00000000-0002-0000-1600-000000000000}">
      <formula1>0</formula1>
    </dataValidation>
    <dataValidation type="whole" allowBlank="1" showInputMessage="1" showErrorMessage="1" sqref="E25:E28" xr:uid="{00000000-0002-0000-1600-000001000000}">
      <formula1>0</formula1>
      <formula2>1</formula2>
    </dataValidation>
    <dataValidation type="whole" operator="greaterThan" allowBlank="1" showInputMessage="1" showErrorMessage="1" sqref="C22:C28 D24:D28 E24 F53:I54 E50:E54 F5 E40:E41 F47:I47 E43:E48 D75:D79 C73:C79" xr:uid="{00000000-0002-0000-1600-000002000000}">
      <formula1>0</formula1>
    </dataValidation>
    <dataValidation type="decimal" operator="greaterThan" allowBlank="1" showInputMessage="1" showErrorMessage="1" sqref="I7:I9 I5 F6:F7 F9:F11 F13:F14" xr:uid="{00000000-0002-0000-16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K127"/>
  <sheetViews>
    <sheetView topLeftCell="A50" workbookViewId="0">
      <selection activeCell="B72" sqref="B72:I80"/>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(2)'!A11</f>
        <v>0.1</v>
      </c>
      <c r="J7" s="1"/>
      <c r="K7" s="1"/>
    </row>
    <row r="8" spans="2:11" x14ac:dyDescent="0.35">
      <c r="B8" s="1"/>
      <c r="C8" s="1"/>
      <c r="D8" s="334" t="s">
        <v>56</v>
      </c>
      <c r="E8" s="335"/>
      <c r="F8" s="53"/>
      <c r="G8" s="1"/>
      <c r="H8" s="16" t="s">
        <v>62</v>
      </c>
      <c r="I8" s="40">
        <f>'Cash Cost Sensitivities (2)'!B11</f>
        <v>0.08</v>
      </c>
      <c r="J8" s="1"/>
      <c r="K8" s="1"/>
    </row>
    <row r="9" spans="2:11" ht="16" thickBot="1" x14ac:dyDescent="0.4">
      <c r="B9" s="1"/>
      <c r="C9" s="1"/>
      <c r="D9" s="332" t="s">
        <v>57</v>
      </c>
      <c r="E9" s="333"/>
      <c r="F9" s="54">
        <f>Budget!E9</f>
        <v>0.75</v>
      </c>
      <c r="G9" s="1"/>
      <c r="H9" s="39" t="s">
        <v>63</v>
      </c>
      <c r="I9" s="41">
        <f>'Cash Cost Sensitivities (2)'!C11</f>
        <v>5.5000000000000007E-2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57711.5</v>
      </c>
      <c r="E61" s="35">
        <f>D68</f>
        <v>128779</v>
      </c>
      <c r="F61" s="35">
        <f>E68</f>
        <v>199186.5</v>
      </c>
      <c r="G61" s="35">
        <f>F68</f>
        <v>268912</v>
      </c>
      <c r="H61" s="1"/>
      <c r="I61" s="1"/>
      <c r="J61" s="1"/>
      <c r="K61" s="1"/>
    </row>
    <row r="62" spans="2:11" x14ac:dyDescent="0.35">
      <c r="B62" s="12" t="s">
        <v>24</v>
      </c>
      <c r="C62" s="34">
        <f>F90</f>
        <v>99487.5</v>
      </c>
      <c r="D62" s="34">
        <f>F90</f>
        <v>99487.5</v>
      </c>
      <c r="E62" s="34">
        <f>F90</f>
        <v>99487.5</v>
      </c>
      <c r="F62" s="34">
        <f>F90</f>
        <v>99487.5</v>
      </c>
      <c r="G62" s="34">
        <f>F90</f>
        <v>99487.5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57711.5</v>
      </c>
      <c r="D67" s="34">
        <f>D62-D66</f>
        <v>71067.5</v>
      </c>
      <c r="E67" s="34">
        <f>E62-E66</f>
        <v>70407.5</v>
      </c>
      <c r="F67" s="34">
        <f>F62-F66</f>
        <v>69725.5</v>
      </c>
      <c r="G67" s="34">
        <f>G62-G66</f>
        <v>69025.5</v>
      </c>
      <c r="H67" s="1"/>
      <c r="I67" s="1"/>
      <c r="J67" s="1"/>
      <c r="K67" s="1"/>
    </row>
    <row r="68" spans="2:11" x14ac:dyDescent="0.35">
      <c r="B68" s="12" t="s">
        <v>27</v>
      </c>
      <c r="C68" s="34">
        <f>C61+C67</f>
        <v>57711.5</v>
      </c>
      <c r="D68" s="34">
        <f>D61+D67</f>
        <v>128779</v>
      </c>
      <c r="E68" s="34">
        <f>E61+E67</f>
        <v>199186.5</v>
      </c>
      <c r="F68" s="34">
        <f>F61+F67</f>
        <v>268912</v>
      </c>
      <c r="G68" s="34">
        <f>G61+G67</f>
        <v>337937.5</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0.1</v>
      </c>
      <c r="F86" s="7">
        <f>E86*D86</f>
        <v>84000</v>
      </c>
      <c r="G86" s="1"/>
      <c r="H86" s="1"/>
      <c r="I86" s="1"/>
      <c r="J86" s="1"/>
      <c r="K86" s="1"/>
    </row>
    <row r="87" spans="2:11" x14ac:dyDescent="0.35">
      <c r="B87" s="1" t="s">
        <v>35</v>
      </c>
      <c r="C87" s="1"/>
      <c r="D87" s="45">
        <f>F14*D90</f>
        <v>157499.99999999997</v>
      </c>
      <c r="E87" s="46">
        <f>I8</f>
        <v>0.08</v>
      </c>
      <c r="F87" s="7">
        <f>E87*D87</f>
        <v>12599.999999999998</v>
      </c>
      <c r="G87" s="1"/>
      <c r="H87" s="1"/>
      <c r="I87" s="1"/>
      <c r="J87" s="1"/>
      <c r="K87" s="1"/>
    </row>
    <row r="88" spans="2:11" x14ac:dyDescent="0.35">
      <c r="B88" s="1" t="s">
        <v>36</v>
      </c>
      <c r="C88" s="1"/>
      <c r="D88" s="45">
        <f>F15*D90</f>
        <v>52499.999999999993</v>
      </c>
      <c r="E88" s="47">
        <f>I9</f>
        <v>5.5000000000000007E-2</v>
      </c>
      <c r="F88" s="9">
        <f>E88*D88</f>
        <v>2887.5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99487.5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57549.5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0.22130870712401052</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50782.033333333333</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0.25702093227792433</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xr:uid="{00000000-0002-0000-1700-000000000000}">
      <formula1>0</formula1>
    </dataValidation>
    <dataValidation type="whole" allowBlank="1" showInputMessage="1" showErrorMessage="1" sqref="E25:E28" xr:uid="{00000000-0002-0000-1700-000001000000}">
      <formula1>0</formula1>
      <formula2>1</formula2>
    </dataValidation>
    <dataValidation type="whole" operator="greaterThan" allowBlank="1" showInputMessage="1" showErrorMessage="1" sqref="C22:C28 D24:D28 E24 F53:I54 E50:E54 F5 E40:E41 F47:I47 E43:E48 D75:D79 C73:C79" xr:uid="{00000000-0002-0000-1700-000002000000}">
      <formula1>0</formula1>
    </dataValidation>
    <dataValidation type="decimal" operator="greaterThan" allowBlank="1" showInputMessage="1" showErrorMessage="1" sqref="I7:I9 I5 F6:F7 F9:F11 F13:F14" xr:uid="{00000000-0002-0000-17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K127"/>
  <sheetViews>
    <sheetView topLeftCell="A55" workbookViewId="0">
      <selection activeCell="L81" sqref="L81"/>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(2)'!A10</f>
        <v>0.09</v>
      </c>
      <c r="J7" s="1"/>
      <c r="K7" s="1"/>
    </row>
    <row r="8" spans="2:11" x14ac:dyDescent="0.35">
      <c r="B8" s="1"/>
      <c r="C8" s="1"/>
      <c r="D8" s="334" t="s">
        <v>56</v>
      </c>
      <c r="E8" s="335"/>
      <c r="F8" s="53"/>
      <c r="G8" s="1"/>
      <c r="H8" s="16" t="s">
        <v>62</v>
      </c>
      <c r="I8" s="40">
        <f>'Cash Cost Sensitivities (2)'!B10</f>
        <v>7.0000000000000007E-2</v>
      </c>
      <c r="J8" s="1"/>
      <c r="K8" s="1"/>
    </row>
    <row r="9" spans="2:11" ht="16" thickBot="1" x14ac:dyDescent="0.4">
      <c r="B9" s="1"/>
      <c r="C9" s="1"/>
      <c r="D9" s="332" t="s">
        <v>57</v>
      </c>
      <c r="E9" s="333"/>
      <c r="F9" s="54">
        <f>Budget!E9</f>
        <v>0.75</v>
      </c>
      <c r="G9" s="1"/>
      <c r="H9" s="39" t="s">
        <v>63</v>
      </c>
      <c r="I9" s="41">
        <f>'Cash Cost Sensitivities (2)'!C10</f>
        <v>0.05</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47473.999999999985</v>
      </c>
      <c r="E61" s="35">
        <f>D68</f>
        <v>108303.99999999997</v>
      </c>
      <c r="F61" s="35">
        <f>E68</f>
        <v>168473.99999999994</v>
      </c>
      <c r="G61" s="35">
        <f>F68</f>
        <v>227961.99999999994</v>
      </c>
      <c r="H61" s="1"/>
      <c r="I61" s="1"/>
      <c r="J61" s="1"/>
      <c r="K61" s="1"/>
    </row>
    <row r="62" spans="2:11" x14ac:dyDescent="0.35">
      <c r="B62" s="12" t="s">
        <v>24</v>
      </c>
      <c r="C62" s="34">
        <f>F90</f>
        <v>89249.999999999985</v>
      </c>
      <c r="D62" s="34">
        <f>F90</f>
        <v>89249.999999999985</v>
      </c>
      <c r="E62" s="34">
        <f>F90</f>
        <v>89249.999999999985</v>
      </c>
      <c r="F62" s="34">
        <f>F90</f>
        <v>89249.999999999985</v>
      </c>
      <c r="G62" s="34">
        <f>F90</f>
        <v>89249.999999999985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47473.999999999985</v>
      </c>
      <c r="D67" s="34">
        <f>D62-D66</f>
        <v>60829.999999999985</v>
      </c>
      <c r="E67" s="34">
        <f>E62-E66</f>
        <v>60169.999999999985</v>
      </c>
      <c r="F67" s="34">
        <f>F62-F66</f>
        <v>59487.999999999985</v>
      </c>
      <c r="G67" s="34">
        <f>G62-G66</f>
        <v>58787.999999999985</v>
      </c>
      <c r="H67" s="1"/>
      <c r="I67" s="1"/>
      <c r="J67" s="1"/>
      <c r="K67" s="1"/>
    </row>
    <row r="68" spans="2:11" x14ac:dyDescent="0.35">
      <c r="B68" s="12" t="s">
        <v>27</v>
      </c>
      <c r="C68" s="34">
        <f>C61+C67</f>
        <v>47473.999999999985</v>
      </c>
      <c r="D68" s="34">
        <f>D61+D67</f>
        <v>108303.99999999997</v>
      </c>
      <c r="E68" s="34">
        <f>E61+E67</f>
        <v>168473.99999999994</v>
      </c>
      <c r="F68" s="34">
        <f>F61+F67</f>
        <v>227961.99999999994</v>
      </c>
      <c r="G68" s="34">
        <f>G61+G67</f>
        <v>286749.99999999994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0.09</v>
      </c>
      <c r="F86" s="7">
        <f>E86*D86</f>
        <v>75599.999999999985</v>
      </c>
      <c r="G86" s="1"/>
      <c r="H86" s="1"/>
      <c r="I86" s="1"/>
      <c r="J86" s="1"/>
      <c r="K86" s="1"/>
    </row>
    <row r="87" spans="2:11" x14ac:dyDescent="0.35">
      <c r="B87" s="1" t="s">
        <v>35</v>
      </c>
      <c r="C87" s="1"/>
      <c r="D87" s="45">
        <f>F14*D90</f>
        <v>157499.99999999997</v>
      </c>
      <c r="E87" s="46">
        <f>I8</f>
        <v>7.0000000000000007E-2</v>
      </c>
      <c r="F87" s="7">
        <f>E87*D87</f>
        <v>11024.999999999998</v>
      </c>
      <c r="G87" s="1"/>
      <c r="H87" s="1"/>
      <c r="I87" s="1"/>
      <c r="J87" s="1"/>
      <c r="K87" s="1"/>
    </row>
    <row r="88" spans="2:11" x14ac:dyDescent="0.35">
      <c r="B88" s="1" t="s">
        <v>36</v>
      </c>
      <c r="C88" s="1"/>
      <c r="D88" s="45">
        <f>F15*D90</f>
        <v>52499.999999999993</v>
      </c>
      <c r="E88" s="47">
        <f>I9</f>
        <v>0.05</v>
      </c>
      <c r="F88" s="9">
        <f>E88*D88</f>
        <v>2625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89249.999999999985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47311.999999999985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0.24669411764705884</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40544.533333333318</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0.28650274509803919</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800-000000000000}">
      <formula1>0</formula1>
    </dataValidation>
    <dataValidation type="whole" operator="greaterThan" allowBlank="1" showInputMessage="1" showErrorMessage="1" sqref="C22:C28 D24:D28 E24 F53:I54 E50:E54 F5 E40:E41 F47:I47 E43:E48 D75:D79 C73:C79" xr:uid="{00000000-0002-0000-1800-000001000000}">
      <formula1>0</formula1>
    </dataValidation>
    <dataValidation type="whole" allowBlank="1" showInputMessage="1" showErrorMessage="1" sqref="E25:E28" xr:uid="{00000000-0002-0000-1800-000002000000}">
      <formula1>0</formula1>
      <formula2>1</formula2>
    </dataValidation>
    <dataValidation type="decimal" operator="greaterThanOrEqual" allowBlank="1" showInputMessage="1" showErrorMessage="1" sqref="F15" xr:uid="{00000000-0002-0000-18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K127"/>
  <sheetViews>
    <sheetView topLeftCell="A61" workbookViewId="0">
      <selection activeCell="D79" sqref="D79"/>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(2)'!A9</f>
        <v>0.08</v>
      </c>
      <c r="J7" s="1"/>
      <c r="K7" s="1"/>
    </row>
    <row r="8" spans="2:11" x14ac:dyDescent="0.35">
      <c r="B8" s="1"/>
      <c r="C8" s="1"/>
      <c r="D8" s="334" t="s">
        <v>56</v>
      </c>
      <c r="E8" s="335"/>
      <c r="F8" s="53"/>
      <c r="G8" s="1"/>
      <c r="H8" s="16" t="s">
        <v>62</v>
      </c>
      <c r="I8" s="40">
        <f>'Cash Cost Sensitivities (2)'!B9</f>
        <v>0.06</v>
      </c>
      <c r="J8" s="1"/>
      <c r="K8" s="1"/>
    </row>
    <row r="9" spans="2:11" ht="16" thickBot="1" x14ac:dyDescent="0.4">
      <c r="B9" s="1"/>
      <c r="C9" s="1"/>
      <c r="D9" s="332" t="s">
        <v>57</v>
      </c>
      <c r="E9" s="333"/>
      <c r="F9" s="54">
        <f>Budget!E9</f>
        <v>0.75</v>
      </c>
      <c r="G9" s="1"/>
      <c r="H9" s="39" t="s">
        <v>63</v>
      </c>
      <c r="I9" s="41">
        <f>'Cash Cost Sensitivities (2)'!C9</f>
        <v>4.5000000000000005E-2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37236.499999999985</v>
      </c>
      <c r="E61" s="35">
        <f>D68</f>
        <v>87828.999999999971</v>
      </c>
      <c r="F61" s="35">
        <f>E68</f>
        <v>137761.49999999994</v>
      </c>
      <c r="G61" s="35">
        <f>F68</f>
        <v>187011.99999999994</v>
      </c>
      <c r="H61" s="1"/>
      <c r="I61" s="1"/>
      <c r="J61" s="1"/>
      <c r="K61" s="1"/>
    </row>
    <row r="62" spans="2:11" x14ac:dyDescent="0.35">
      <c r="B62" s="12" t="s">
        <v>24</v>
      </c>
      <c r="C62" s="34">
        <f>F90</f>
        <v>79012.499999999985</v>
      </c>
      <c r="D62" s="34">
        <f>F90</f>
        <v>79012.499999999985</v>
      </c>
      <c r="E62" s="34">
        <f>F90</f>
        <v>79012.499999999985</v>
      </c>
      <c r="F62" s="34">
        <f>F90</f>
        <v>79012.499999999985</v>
      </c>
      <c r="G62" s="34">
        <f>F90</f>
        <v>79012.499999999985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37236.499999999985</v>
      </c>
      <c r="D67" s="34">
        <f>D62-D66</f>
        <v>50592.499999999985</v>
      </c>
      <c r="E67" s="34">
        <f>E62-E66</f>
        <v>49932.499999999985</v>
      </c>
      <c r="F67" s="34">
        <f>F62-F66</f>
        <v>49250.499999999985</v>
      </c>
      <c r="G67" s="34">
        <f>G62-G66</f>
        <v>48550.499999999985</v>
      </c>
      <c r="H67" s="1"/>
      <c r="I67" s="1"/>
      <c r="J67" s="1"/>
      <c r="K67" s="1"/>
    </row>
    <row r="68" spans="2:11" x14ac:dyDescent="0.35">
      <c r="B68" s="12" t="s">
        <v>27</v>
      </c>
      <c r="C68" s="34">
        <f>C61+C67</f>
        <v>37236.499999999985</v>
      </c>
      <c r="D68" s="34">
        <f>D61+D67</f>
        <v>87828.999999999971</v>
      </c>
      <c r="E68" s="34">
        <f>E61+E67</f>
        <v>137761.49999999994</v>
      </c>
      <c r="F68" s="34">
        <f>F61+F67</f>
        <v>187011.99999999994</v>
      </c>
      <c r="G68" s="34">
        <f>G61+G67</f>
        <v>235562.49999999994</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0.08</v>
      </c>
      <c r="F86" s="7">
        <f>E86*D86</f>
        <v>67199.999999999985</v>
      </c>
      <c r="G86" s="1"/>
      <c r="H86" s="1"/>
      <c r="I86" s="1"/>
      <c r="J86" s="1"/>
      <c r="K86" s="1"/>
    </row>
    <row r="87" spans="2:11" x14ac:dyDescent="0.35">
      <c r="B87" s="1" t="s">
        <v>35</v>
      </c>
      <c r="C87" s="1"/>
      <c r="D87" s="45">
        <f>F14*D90</f>
        <v>157499.99999999997</v>
      </c>
      <c r="E87" s="46">
        <f>I8</f>
        <v>0.06</v>
      </c>
      <c r="F87" s="7">
        <f>E87*D87</f>
        <v>9449.9999999999982</v>
      </c>
      <c r="G87" s="1"/>
      <c r="H87" s="1"/>
      <c r="I87" s="1"/>
      <c r="J87" s="1"/>
      <c r="K87" s="1"/>
    </row>
    <row r="88" spans="2:11" x14ac:dyDescent="0.35">
      <c r="B88" s="1" t="s">
        <v>36</v>
      </c>
      <c r="C88" s="1"/>
      <c r="D88" s="45">
        <f>F15*D90</f>
        <v>52499.999999999993</v>
      </c>
      <c r="E88" s="47">
        <f>I9</f>
        <v>4.5000000000000005E-2</v>
      </c>
      <c r="F88" s="9">
        <f>E88*D88</f>
        <v>2362.5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79012.499999999985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37074.499999999985</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0.27865780730897016</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30307.033333333318</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0.32362436323366561</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OrEqual" allowBlank="1" showInputMessage="1" showErrorMessage="1" sqref="F15" xr:uid="{00000000-0002-0000-1900-000000000000}">
      <formula1>0</formula1>
    </dataValidation>
    <dataValidation type="whole" allowBlank="1" showInputMessage="1" showErrorMessage="1" sqref="E25:E28" xr:uid="{00000000-0002-0000-1900-000001000000}">
      <formula1>0</formula1>
      <formula2>1</formula2>
    </dataValidation>
    <dataValidation type="whole" operator="greaterThan" allowBlank="1" showInputMessage="1" showErrorMessage="1" sqref="C22:C28 D24:D28 E24 F53:I54 E50:E54 F5 E40:E41 F47:I47 E43:E48 D75:D79 C73:C79" xr:uid="{00000000-0002-0000-1900-000002000000}">
      <formula1>0</formula1>
    </dataValidation>
    <dataValidation type="decimal" operator="greaterThan" allowBlank="1" showInputMessage="1" showErrorMessage="1" sqref="I7:I9 I5 F6:F7 F9:F11 F13:F14" xr:uid="{00000000-0002-0000-19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3:K127"/>
  <sheetViews>
    <sheetView topLeftCell="A62" workbookViewId="0">
      <selection activeCell="M89" sqref="M89"/>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(2)'!A8</f>
        <v>7.0000000000000007E-2</v>
      </c>
      <c r="J7" s="1"/>
      <c r="K7" s="1"/>
    </row>
    <row r="8" spans="2:11" x14ac:dyDescent="0.35">
      <c r="B8" s="1"/>
      <c r="C8" s="1"/>
      <c r="D8" s="334" t="s">
        <v>56</v>
      </c>
      <c r="E8" s="335"/>
      <c r="F8" s="53"/>
      <c r="G8" s="1"/>
      <c r="H8" s="16" t="s">
        <v>62</v>
      </c>
      <c r="I8" s="40">
        <f>'Cash Cost Sensitivities (2)'!B8</f>
        <v>0.05</v>
      </c>
      <c r="J8" s="1"/>
      <c r="K8" s="1"/>
    </row>
    <row r="9" spans="2:11" ht="16" thickBot="1" x14ac:dyDescent="0.4">
      <c r="B9" s="1"/>
      <c r="C9" s="1"/>
      <c r="D9" s="332" t="s">
        <v>57</v>
      </c>
      <c r="E9" s="333"/>
      <c r="F9" s="54">
        <f>Budget!E9</f>
        <v>0.75</v>
      </c>
      <c r="G9" s="1"/>
      <c r="H9" s="39" t="s">
        <v>63</v>
      </c>
      <c r="I9" s="41">
        <f>'Cash Cost Sensitivities (2)'!C8</f>
        <v>4.0000000000000008E-2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26999</v>
      </c>
      <c r="E61" s="35">
        <f>D68</f>
        <v>67354</v>
      </c>
      <c r="F61" s="35">
        <f>E68</f>
        <v>107049</v>
      </c>
      <c r="G61" s="35">
        <f>F68</f>
        <v>146062</v>
      </c>
      <c r="H61" s="1"/>
      <c r="I61" s="1"/>
      <c r="J61" s="1"/>
      <c r="K61" s="1"/>
    </row>
    <row r="62" spans="2:11" x14ac:dyDescent="0.35">
      <c r="B62" s="12" t="s">
        <v>24</v>
      </c>
      <c r="C62" s="34">
        <f>F90</f>
        <v>68775</v>
      </c>
      <c r="D62" s="34">
        <f>F90</f>
        <v>68775</v>
      </c>
      <c r="E62" s="34">
        <f>F90</f>
        <v>68775</v>
      </c>
      <c r="F62" s="34">
        <f>F90</f>
        <v>68775</v>
      </c>
      <c r="G62" s="34">
        <f>F90</f>
        <v>68775</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26999</v>
      </c>
      <c r="D67" s="34">
        <f>D62-D66</f>
        <v>40355</v>
      </c>
      <c r="E67" s="34">
        <f>E62-E66</f>
        <v>39695</v>
      </c>
      <c r="F67" s="34">
        <f>F62-F66</f>
        <v>39013</v>
      </c>
      <c r="G67" s="34">
        <f>G62-G66</f>
        <v>38313</v>
      </c>
      <c r="H67" s="1"/>
      <c r="I67" s="1"/>
      <c r="J67" s="1"/>
      <c r="K67" s="1"/>
    </row>
    <row r="68" spans="2:11" x14ac:dyDescent="0.35">
      <c r="B68" s="12" t="s">
        <v>27</v>
      </c>
      <c r="C68" s="34">
        <f>C61+C67</f>
        <v>26999</v>
      </c>
      <c r="D68" s="34">
        <f>D61+D67</f>
        <v>67354</v>
      </c>
      <c r="E68" s="34">
        <f>E61+E67</f>
        <v>107049</v>
      </c>
      <c r="F68" s="34">
        <f>F61+F67</f>
        <v>146062</v>
      </c>
      <c r="G68" s="34">
        <f>G61+G67</f>
        <v>184375</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7.0000000000000007E-2</v>
      </c>
      <c r="F86" s="7">
        <f>E86*D86</f>
        <v>58800</v>
      </c>
      <c r="G86" s="1"/>
      <c r="H86" s="1"/>
      <c r="I86" s="1"/>
      <c r="J86" s="1"/>
      <c r="K86" s="1"/>
    </row>
    <row r="87" spans="2:11" x14ac:dyDescent="0.35">
      <c r="B87" s="1" t="s">
        <v>35</v>
      </c>
      <c r="C87" s="1"/>
      <c r="D87" s="45">
        <f>F14*D90</f>
        <v>157499.99999999997</v>
      </c>
      <c r="E87" s="46">
        <f>I8</f>
        <v>0.05</v>
      </c>
      <c r="F87" s="7">
        <f>E87*D87</f>
        <v>7874.9999999999991</v>
      </c>
      <c r="G87" s="1"/>
      <c r="H87" s="1"/>
      <c r="I87" s="1"/>
      <c r="J87" s="1"/>
      <c r="K87" s="1"/>
    </row>
    <row r="88" spans="2:11" x14ac:dyDescent="0.35">
      <c r="B88" s="1" t="s">
        <v>36</v>
      </c>
      <c r="C88" s="1"/>
      <c r="D88" s="45">
        <f>F15*D90</f>
        <v>52499.999999999993</v>
      </c>
      <c r="E88" s="47">
        <f>I9</f>
        <v>4.0000000000000008E-2</v>
      </c>
      <c r="F88" s="9">
        <f>E88*D88</f>
        <v>2100</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68775</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26837</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0.32013740458015266</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20069.533333333333</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0.37179745547073789</v>
      </c>
      <c r="G127" s="1"/>
      <c r="H127" s="1"/>
      <c r="I127" s="1"/>
      <c r="J127" s="1"/>
      <c r="K127" s="1"/>
    </row>
  </sheetData>
  <mergeCells count="23">
    <mergeCell ref="B111:G111"/>
    <mergeCell ref="E70:F70"/>
    <mergeCell ref="B83:G83"/>
    <mergeCell ref="B89:G89"/>
    <mergeCell ref="B91:G91"/>
    <mergeCell ref="B103:G103"/>
    <mergeCell ref="D5:E5"/>
    <mergeCell ref="D12:F12"/>
    <mergeCell ref="D13:E13"/>
    <mergeCell ref="B20:K20"/>
    <mergeCell ref="B37:I37"/>
    <mergeCell ref="D14:E14"/>
    <mergeCell ref="D15:E15"/>
    <mergeCell ref="D16:E16"/>
    <mergeCell ref="D17:E17"/>
    <mergeCell ref="D18:E18"/>
    <mergeCell ref="B59:I59"/>
    <mergeCell ref="D11:E11"/>
    <mergeCell ref="D6:E6"/>
    <mergeCell ref="D7:E7"/>
    <mergeCell ref="D8:E8"/>
    <mergeCell ref="D9:E9"/>
    <mergeCell ref="D10:E10"/>
  </mergeCells>
  <dataValidations count="4">
    <dataValidation type="decimal" operator="greaterThan" allowBlank="1" showInputMessage="1" showErrorMessage="1" sqref="I7:I9 I5 F6:F7 F9:F11 F13:F14" xr:uid="{00000000-0002-0000-1A00-000000000000}">
      <formula1>0</formula1>
    </dataValidation>
    <dataValidation type="whole" operator="greaterThan" allowBlank="1" showInputMessage="1" showErrorMessage="1" sqref="C22:C28 D24:D28 E24 F53:I54 E50:E54 F5 E40:E41 F47:I47 E43:E48 D75:D79 C73:C79" xr:uid="{00000000-0002-0000-1A00-000001000000}">
      <formula1>0</formula1>
    </dataValidation>
    <dataValidation type="whole" allowBlank="1" showInputMessage="1" showErrorMessage="1" sqref="E25:E28" xr:uid="{00000000-0002-0000-1A00-000002000000}">
      <formula1>0</formula1>
      <formula2>1</formula2>
    </dataValidation>
    <dataValidation type="decimal" operator="greaterThanOrEqual" allowBlank="1" showInputMessage="1" showErrorMessage="1" sqref="F15" xr:uid="{00000000-0002-0000-1A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K127"/>
  <sheetViews>
    <sheetView topLeftCell="A64" workbookViewId="0">
      <selection activeCell="H82" sqref="H82"/>
    </sheetView>
  </sheetViews>
  <sheetFormatPr defaultColWidth="11" defaultRowHeight="15.5" x14ac:dyDescent="0.35"/>
  <sheetData>
    <row r="3" spans="2:11" ht="16" thickBot="1" x14ac:dyDescent="0.4">
      <c r="B3" s="1"/>
      <c r="C3" s="1"/>
      <c r="D3" s="1"/>
      <c r="E3" s="56"/>
      <c r="F3" s="33"/>
      <c r="G3" s="1"/>
      <c r="H3" s="1"/>
      <c r="I3" s="1"/>
      <c r="J3" s="1"/>
      <c r="K3" s="1"/>
    </row>
    <row r="4" spans="2:11" x14ac:dyDescent="0.35">
      <c r="B4" s="1"/>
      <c r="C4" s="1"/>
      <c r="D4" s="14" t="s">
        <v>51</v>
      </c>
      <c r="E4" s="75"/>
      <c r="F4" s="15" t="s">
        <v>50</v>
      </c>
      <c r="G4" s="1"/>
      <c r="H4" s="14" t="s">
        <v>53</v>
      </c>
      <c r="I4" s="15" t="s">
        <v>54</v>
      </c>
      <c r="J4" s="1"/>
      <c r="K4" s="1"/>
    </row>
    <row r="5" spans="2:11" x14ac:dyDescent="0.35">
      <c r="B5" s="1"/>
      <c r="C5" s="1"/>
      <c r="D5" s="334" t="s">
        <v>73</v>
      </c>
      <c r="E5" s="335"/>
      <c r="F5" s="51">
        <f>Budget!E5</f>
        <v>2000000</v>
      </c>
      <c r="G5" s="1"/>
      <c r="H5" s="18" t="s">
        <v>46</v>
      </c>
      <c r="I5" s="55">
        <f>Budget!H5</f>
        <v>0.01</v>
      </c>
      <c r="J5" s="1"/>
      <c r="K5" s="1"/>
    </row>
    <row r="6" spans="2:11" x14ac:dyDescent="0.35">
      <c r="B6" s="1"/>
      <c r="C6" s="1"/>
      <c r="D6" s="336" t="s">
        <v>60</v>
      </c>
      <c r="E6" s="337"/>
      <c r="F6" s="52">
        <f>Budget!E6</f>
        <v>10000</v>
      </c>
      <c r="G6" s="1"/>
      <c r="H6" s="18" t="s">
        <v>47</v>
      </c>
      <c r="I6" s="17">
        <f>Budget!H6</f>
        <v>0</v>
      </c>
      <c r="J6" s="1"/>
      <c r="K6" s="1"/>
    </row>
    <row r="7" spans="2:11" x14ac:dyDescent="0.35">
      <c r="B7" s="1"/>
      <c r="C7" s="1"/>
      <c r="D7" s="334" t="s">
        <v>55</v>
      </c>
      <c r="E7" s="335"/>
      <c r="F7" s="60">
        <f>Budget!E7</f>
        <v>1150</v>
      </c>
      <c r="G7" s="1"/>
      <c r="H7" s="16" t="s">
        <v>67</v>
      </c>
      <c r="I7" s="40">
        <f>'Cash Cost Sensitivities (2)'!A7</f>
        <v>0.06</v>
      </c>
      <c r="J7" s="1"/>
      <c r="K7" s="1"/>
    </row>
    <row r="8" spans="2:11" x14ac:dyDescent="0.35">
      <c r="B8" s="1"/>
      <c r="C8" s="1"/>
      <c r="D8" s="334" t="s">
        <v>56</v>
      </c>
      <c r="E8" s="335"/>
      <c r="F8" s="53"/>
      <c r="G8" s="1"/>
      <c r="H8" s="16" t="s">
        <v>62</v>
      </c>
      <c r="I8" s="40">
        <f>'Cash Cost Sensitivities (2)'!B7</f>
        <v>3.9999999999999994E-2</v>
      </c>
      <c r="J8" s="1"/>
      <c r="K8" s="1"/>
    </row>
    <row r="9" spans="2:11" ht="16" thickBot="1" x14ac:dyDescent="0.4">
      <c r="B9" s="1"/>
      <c r="C9" s="1"/>
      <c r="D9" s="332" t="s">
        <v>57</v>
      </c>
      <c r="E9" s="333"/>
      <c r="F9" s="54">
        <f>Budget!E9</f>
        <v>0.75</v>
      </c>
      <c r="G9" s="1"/>
      <c r="H9" s="39" t="s">
        <v>63</v>
      </c>
      <c r="I9" s="41">
        <f>'Cash Cost Sensitivities (2)'!C7</f>
        <v>3.5000000000000003E-2</v>
      </c>
      <c r="J9" s="1"/>
      <c r="K9" s="1"/>
    </row>
    <row r="10" spans="2:11" x14ac:dyDescent="0.35">
      <c r="B10" s="1"/>
      <c r="C10" s="1"/>
      <c r="D10" s="332" t="s">
        <v>58</v>
      </c>
      <c r="E10" s="333"/>
      <c r="F10" s="54">
        <f>Budget!E10</f>
        <v>0.7</v>
      </c>
      <c r="G10" s="1"/>
      <c r="H10" s="13"/>
      <c r="I10" s="1"/>
      <c r="J10" s="1"/>
      <c r="K10" s="1"/>
    </row>
    <row r="11" spans="2:11" x14ac:dyDescent="0.35">
      <c r="B11" s="1"/>
      <c r="C11" s="1"/>
      <c r="D11" s="332" t="s">
        <v>59</v>
      </c>
      <c r="E11" s="333"/>
      <c r="F11" s="53">
        <f>F9*F10</f>
        <v>0.52499999999999991</v>
      </c>
      <c r="G11" s="1"/>
      <c r="H11" s="83"/>
      <c r="I11" s="1"/>
      <c r="J11" s="1"/>
      <c r="K11" s="1"/>
    </row>
    <row r="12" spans="2:11" x14ac:dyDescent="0.35">
      <c r="B12" s="1"/>
      <c r="C12" s="1"/>
      <c r="D12" s="334" t="s">
        <v>52</v>
      </c>
      <c r="E12" s="335"/>
      <c r="F12" s="338"/>
      <c r="G12" s="1"/>
      <c r="H12" s="1"/>
      <c r="I12" s="1"/>
      <c r="J12" s="1"/>
      <c r="K12" s="1"/>
    </row>
    <row r="13" spans="2:11" x14ac:dyDescent="0.35">
      <c r="B13" s="1"/>
      <c r="C13" s="1"/>
      <c r="D13" s="332" t="s">
        <v>61</v>
      </c>
      <c r="E13" s="333"/>
      <c r="F13" s="54">
        <f>Budget!E13</f>
        <v>0.8</v>
      </c>
      <c r="G13" s="1"/>
      <c r="H13" s="1"/>
      <c r="I13" s="1"/>
      <c r="J13" s="1"/>
      <c r="K13" s="1"/>
    </row>
    <row r="14" spans="2:11" x14ac:dyDescent="0.35">
      <c r="B14" s="1"/>
      <c r="C14" s="1"/>
      <c r="D14" s="332" t="s">
        <v>62</v>
      </c>
      <c r="E14" s="333"/>
      <c r="F14" s="54">
        <f>Budget!E14</f>
        <v>0.15</v>
      </c>
      <c r="G14" s="1"/>
      <c r="H14" s="1"/>
      <c r="I14" s="1"/>
      <c r="J14" s="1"/>
      <c r="K14" s="1"/>
    </row>
    <row r="15" spans="2:11" x14ac:dyDescent="0.35">
      <c r="B15" s="1"/>
      <c r="C15" s="1"/>
      <c r="D15" s="332" t="s">
        <v>63</v>
      </c>
      <c r="E15" s="333"/>
      <c r="F15" s="66">
        <f>Budget!E15</f>
        <v>0.05</v>
      </c>
      <c r="G15" s="1"/>
      <c r="H15" s="1"/>
      <c r="I15" s="1"/>
      <c r="J15" s="1"/>
      <c r="K15" s="1"/>
    </row>
    <row r="16" spans="2:11" x14ac:dyDescent="0.35">
      <c r="B16" s="1"/>
      <c r="C16" s="1"/>
      <c r="D16" s="344" t="s">
        <v>100</v>
      </c>
      <c r="E16" s="345"/>
      <c r="F16" s="64"/>
      <c r="G16" s="1"/>
      <c r="H16" s="1"/>
      <c r="I16" s="1"/>
      <c r="J16" s="1"/>
      <c r="K16" s="1"/>
    </row>
    <row r="17" spans="2:11" x14ac:dyDescent="0.35">
      <c r="B17" s="1"/>
      <c r="C17" s="1"/>
      <c r="D17" s="346" t="s">
        <v>57</v>
      </c>
      <c r="E17" s="347"/>
      <c r="F17" s="67">
        <f>ROUND(F5/F6,0)</f>
        <v>200</v>
      </c>
      <c r="G17" s="1"/>
      <c r="H17" s="1"/>
      <c r="I17" s="1"/>
      <c r="J17" s="1"/>
      <c r="K17" s="1"/>
    </row>
    <row r="18" spans="2:11" ht="16" thickBot="1" x14ac:dyDescent="0.4">
      <c r="B18" s="2"/>
      <c r="C18" s="2"/>
      <c r="D18" s="339" t="s">
        <v>99</v>
      </c>
      <c r="E18" s="340"/>
      <c r="F18" s="65">
        <f>ROUND(F5*F9/F7,0)</f>
        <v>1304</v>
      </c>
      <c r="G18" s="1"/>
      <c r="H18" s="1"/>
      <c r="I18" s="1"/>
      <c r="J18" s="1"/>
      <c r="K18" s="1"/>
    </row>
    <row r="19" spans="2:11" x14ac:dyDescent="0.35">
      <c r="B19" s="2"/>
      <c r="C19" s="2"/>
      <c r="D19" s="2"/>
      <c r="E19" s="10"/>
      <c r="F19" s="2"/>
      <c r="G19" s="1"/>
      <c r="H19" s="1"/>
      <c r="I19" s="1"/>
      <c r="J19" s="1"/>
      <c r="K19" s="1"/>
    </row>
    <row r="20" spans="2:11" ht="18.5" x14ac:dyDescent="0.45">
      <c r="B20" s="343" t="s">
        <v>12</v>
      </c>
      <c r="C20" s="343"/>
      <c r="D20" s="343"/>
      <c r="E20" s="343"/>
      <c r="F20" s="343"/>
      <c r="G20" s="343"/>
      <c r="H20" s="343"/>
      <c r="I20" s="343"/>
      <c r="J20" s="343"/>
      <c r="K20" s="343"/>
    </row>
    <row r="21" spans="2:11" ht="16" thickBot="1" x14ac:dyDescent="0.4">
      <c r="B21" s="19" t="s">
        <v>0</v>
      </c>
      <c r="C21" s="30" t="s">
        <v>1</v>
      </c>
      <c r="D21" s="29" t="s">
        <v>2</v>
      </c>
      <c r="E21" s="29" t="s">
        <v>72</v>
      </c>
      <c r="F21" s="29" t="s">
        <v>114</v>
      </c>
      <c r="G21" s="29" t="s">
        <v>3</v>
      </c>
      <c r="H21" s="29" t="s">
        <v>4</v>
      </c>
      <c r="I21" s="29" t="s">
        <v>5</v>
      </c>
      <c r="J21" s="29" t="s">
        <v>6</v>
      </c>
      <c r="K21" s="29" t="s">
        <v>7</v>
      </c>
    </row>
    <row r="22" spans="2:11" x14ac:dyDescent="0.35">
      <c r="B22" s="21" t="s">
        <v>8</v>
      </c>
      <c r="C22" s="58">
        <f>Budget!B23</f>
        <v>9</v>
      </c>
      <c r="D22" s="84">
        <f>Budget!C23</f>
        <v>4</v>
      </c>
      <c r="E22" s="89">
        <f>Budget!E23</f>
        <v>50</v>
      </c>
      <c r="F22" s="22">
        <f>Budget!F23</f>
        <v>450</v>
      </c>
      <c r="G22" s="22">
        <f>Budget!G23</f>
        <v>450</v>
      </c>
      <c r="H22" s="22">
        <f>Budget!H23</f>
        <v>464</v>
      </c>
      <c r="I22" s="22">
        <f>Budget!I23</f>
        <v>477</v>
      </c>
      <c r="J22" s="22">
        <f>Budget!J23</f>
        <v>492</v>
      </c>
      <c r="K22" s="22">
        <f>Budget!K23</f>
        <v>506</v>
      </c>
    </row>
    <row r="23" spans="2:11" x14ac:dyDescent="0.35">
      <c r="B23" s="12" t="s">
        <v>9</v>
      </c>
      <c r="C23" s="57">
        <f>Budget!B24</f>
        <v>8</v>
      </c>
      <c r="D23" s="85">
        <f>Budget!C24</f>
        <v>6</v>
      </c>
      <c r="E23" s="85">
        <f>Budget!E24</f>
        <v>217</v>
      </c>
      <c r="F23" s="20">
        <f>Budget!F24</f>
        <v>1736</v>
      </c>
      <c r="G23" s="20">
        <f>Budget!G24</f>
        <v>1736</v>
      </c>
      <c r="H23" s="20">
        <f>Budget!H24</f>
        <v>1788</v>
      </c>
      <c r="I23" s="20">
        <f>Budget!I24</f>
        <v>1842</v>
      </c>
      <c r="J23" s="20">
        <f>Budget!J24</f>
        <v>1897</v>
      </c>
      <c r="K23" s="20">
        <f>Budget!K24</f>
        <v>1954</v>
      </c>
    </row>
    <row r="24" spans="2:11" x14ac:dyDescent="0.35">
      <c r="B24" s="12" t="s">
        <v>10</v>
      </c>
      <c r="C24" s="57">
        <f>Budget!B25</f>
        <v>250</v>
      </c>
      <c r="D24" s="85">
        <f>Budget!C25</f>
        <v>3</v>
      </c>
      <c r="E24" s="97">
        <f>Budget!E25</f>
        <v>0</v>
      </c>
      <c r="F24" s="90">
        <f>Budget!F25</f>
        <v>0</v>
      </c>
      <c r="G24" s="20">
        <f>Budget!G25</f>
        <v>0</v>
      </c>
      <c r="H24" s="20">
        <f>Budget!H25</f>
        <v>0</v>
      </c>
      <c r="I24" s="20">
        <f>Budget!I25</f>
        <v>0</v>
      </c>
      <c r="J24" s="20">
        <f>Budget!J25</f>
        <v>0</v>
      </c>
      <c r="K24" s="20">
        <f>Budget!K25</f>
        <v>0</v>
      </c>
    </row>
    <row r="25" spans="2:11" x14ac:dyDescent="0.35">
      <c r="B25" s="12" t="s">
        <v>11</v>
      </c>
      <c r="C25" s="57">
        <f>Budget!B26</f>
        <v>25000</v>
      </c>
      <c r="D25" s="85">
        <f>Budget!C26</f>
        <v>20</v>
      </c>
      <c r="E25" s="85">
        <f>Budget!E26</f>
        <v>0</v>
      </c>
      <c r="F25" s="91">
        <f>Budget!F26</f>
        <v>0</v>
      </c>
      <c r="G25" s="20">
        <f>Budget!G26</f>
        <v>0</v>
      </c>
      <c r="H25" s="20">
        <f>Budget!H26</f>
        <v>0</v>
      </c>
      <c r="I25" s="20">
        <f>Budget!I26</f>
        <v>0</v>
      </c>
      <c r="J25" s="20">
        <f>Budget!J26</f>
        <v>0</v>
      </c>
      <c r="K25" s="20">
        <f>Budget!K26</f>
        <v>0</v>
      </c>
    </row>
    <row r="26" spans="2:11" x14ac:dyDescent="0.35">
      <c r="B26" s="12" t="s">
        <v>69</v>
      </c>
      <c r="C26" s="57">
        <f>Budget!B27</f>
        <v>35000</v>
      </c>
      <c r="D26" s="85">
        <f>Budget!C27</f>
        <v>20</v>
      </c>
      <c r="E26" s="85">
        <f>Budget!E27</f>
        <v>0</v>
      </c>
      <c r="F26" s="91">
        <f>Budget!F27</f>
        <v>0</v>
      </c>
      <c r="G26" s="20">
        <f>Budget!G27</f>
        <v>0</v>
      </c>
      <c r="H26" s="20">
        <f>Budget!H27</f>
        <v>0</v>
      </c>
      <c r="I26" s="20">
        <f>Budget!I27</f>
        <v>0</v>
      </c>
      <c r="J26" s="20">
        <f>Budget!J27</f>
        <v>0</v>
      </c>
      <c r="K26" s="20">
        <f>Budget!K27</f>
        <v>0</v>
      </c>
    </row>
    <row r="27" spans="2:11" x14ac:dyDescent="0.35">
      <c r="B27" s="12" t="s">
        <v>70</v>
      </c>
      <c r="C27" s="57">
        <f>Budget!B28</f>
        <v>10000</v>
      </c>
      <c r="D27" s="85">
        <f>Budget!C28</f>
        <v>10</v>
      </c>
      <c r="E27" s="85">
        <f>Budget!E28</f>
        <v>0</v>
      </c>
      <c r="F27" s="91">
        <f>Budget!F28</f>
        <v>0</v>
      </c>
      <c r="G27" s="20">
        <f>Budget!G28</f>
        <v>0</v>
      </c>
      <c r="H27" s="20">
        <f>Budget!H28</f>
        <v>0</v>
      </c>
      <c r="I27" s="20">
        <f>Budget!I28</f>
        <v>0</v>
      </c>
      <c r="J27" s="20">
        <f>Budget!J28</f>
        <v>0</v>
      </c>
      <c r="K27" s="20">
        <f>Budget!K28</f>
        <v>0</v>
      </c>
    </row>
    <row r="28" spans="2:11" ht="44" thickBot="1" x14ac:dyDescent="0.4">
      <c r="B28" s="62" t="s">
        <v>71</v>
      </c>
      <c r="C28" s="59">
        <f>Budget!B29</f>
        <v>1000</v>
      </c>
      <c r="D28" s="86">
        <f>Budget!C29</f>
        <v>10</v>
      </c>
      <c r="E28" s="86">
        <f>Budget!E29</f>
        <v>0</v>
      </c>
      <c r="F28" s="92">
        <f>Budget!F29</f>
        <v>0</v>
      </c>
      <c r="G28" s="24">
        <f>Budget!G29</f>
        <v>0</v>
      </c>
      <c r="H28" s="24">
        <f>Budget!H29</f>
        <v>0</v>
      </c>
      <c r="I28" s="24">
        <f>Budget!I29</f>
        <v>0</v>
      </c>
      <c r="J28" s="24">
        <f>Budget!J29</f>
        <v>0</v>
      </c>
      <c r="K28" s="24">
        <f>Budget!K29</f>
        <v>0</v>
      </c>
    </row>
    <row r="29" spans="2:11" x14ac:dyDescent="0.35">
      <c r="B29" s="3" t="s">
        <v>45</v>
      </c>
      <c r="C29" s="4"/>
      <c r="D29" s="1"/>
      <c r="E29" s="1"/>
      <c r="F29" s="11"/>
      <c r="G29" s="11">
        <f>SUM(G22:G28)</f>
        <v>2186</v>
      </c>
      <c r="H29" s="11">
        <f>SUM(H22:H28)</f>
        <v>2252</v>
      </c>
      <c r="I29" s="11">
        <f>SUM(I22:I28)</f>
        <v>2319</v>
      </c>
      <c r="J29" s="11">
        <f>SUM(J22:J28)</f>
        <v>2389</v>
      </c>
      <c r="K29" s="11">
        <f>SUM(K22:K28)</f>
        <v>2460</v>
      </c>
    </row>
    <row r="30" spans="2:11" x14ac:dyDescent="0.35">
      <c r="B30" s="1"/>
      <c r="C30" s="1"/>
      <c r="D30" s="1"/>
      <c r="E30" s="4"/>
      <c r="F30" s="1"/>
      <c r="G30" s="1"/>
      <c r="H30" s="1"/>
      <c r="I30" s="1"/>
      <c r="J30" s="1"/>
      <c r="K30" s="1"/>
    </row>
    <row r="31" spans="2:11" x14ac:dyDescent="0.35">
      <c r="B31" s="68"/>
      <c r="C31" s="68"/>
      <c r="D31" s="68"/>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ht="18.5" x14ac:dyDescent="0.45">
      <c r="B37" s="343" t="s">
        <v>14</v>
      </c>
      <c r="C37" s="343"/>
      <c r="D37" s="343"/>
      <c r="E37" s="343"/>
      <c r="F37" s="343"/>
      <c r="G37" s="343"/>
      <c r="H37" s="343"/>
      <c r="I37" s="343"/>
      <c r="J37" s="1"/>
      <c r="K37" s="1"/>
    </row>
    <row r="38" spans="2:11" ht="44" thickBot="1" x14ac:dyDescent="0.4">
      <c r="B38" s="29" t="s">
        <v>13</v>
      </c>
      <c r="C38" s="19" t="s">
        <v>104</v>
      </c>
      <c r="D38" s="78" t="s">
        <v>107</v>
      </c>
      <c r="E38" s="30" t="s">
        <v>3</v>
      </c>
      <c r="F38" s="29" t="s">
        <v>4</v>
      </c>
      <c r="G38" s="29" t="s">
        <v>5</v>
      </c>
      <c r="H38" s="29" t="s">
        <v>6</v>
      </c>
      <c r="I38" s="29" t="s">
        <v>7</v>
      </c>
      <c r="J38" s="1"/>
      <c r="K38" s="1"/>
    </row>
    <row r="39" spans="2:11" x14ac:dyDescent="0.35">
      <c r="B39" s="37" t="s">
        <v>14</v>
      </c>
      <c r="C39" s="1"/>
      <c r="D39" s="1"/>
      <c r="E39" s="28"/>
      <c r="F39" s="6"/>
      <c r="G39" s="6"/>
      <c r="H39" s="6"/>
      <c r="I39" s="63"/>
      <c r="J39" s="1"/>
      <c r="K39" s="1"/>
    </row>
    <row r="40" spans="2:11" x14ac:dyDescent="0.35">
      <c r="B40" s="21" t="s">
        <v>15</v>
      </c>
      <c r="C40" s="73">
        <f>F5</f>
        <v>2000000</v>
      </c>
      <c r="D40" s="61">
        <f>I5</f>
        <v>0.01</v>
      </c>
      <c r="E40" s="26">
        <f>C40*D40</f>
        <v>20000</v>
      </c>
      <c r="F40" s="26">
        <v>6000</v>
      </c>
      <c r="G40" s="26">
        <v>6000</v>
      </c>
      <c r="H40" s="26">
        <v>6000</v>
      </c>
      <c r="I40" s="26">
        <v>6000</v>
      </c>
      <c r="J40" s="8"/>
      <c r="K40" s="8"/>
    </row>
    <row r="41" spans="2:11" x14ac:dyDescent="0.35">
      <c r="B41" s="12" t="s">
        <v>105</v>
      </c>
      <c r="C41" s="74">
        <f>F17+F18</f>
        <v>1504</v>
      </c>
      <c r="D41" s="57">
        <f>Budget!C36</f>
        <v>2</v>
      </c>
      <c r="E41" s="26">
        <f>C41*D41</f>
        <v>3008</v>
      </c>
      <c r="F41" s="25">
        <f>ROUND(E41+E41*0.03,0)</f>
        <v>3098</v>
      </c>
      <c r="G41" s="25">
        <f>ROUND(F41+F41*0.03,0)</f>
        <v>3191</v>
      </c>
      <c r="H41" s="25">
        <f t="shared" ref="H41:I52" si="0">ROUND(G41+G41*0.03,0)</f>
        <v>3287</v>
      </c>
      <c r="I41" s="25">
        <f t="shared" si="0"/>
        <v>3386</v>
      </c>
      <c r="J41" s="1"/>
      <c r="K41" s="1"/>
    </row>
    <row r="42" spans="2:11" x14ac:dyDescent="0.35">
      <c r="B42" s="12" t="s">
        <v>16</v>
      </c>
      <c r="C42" s="82">
        <f>Budget!B37</f>
        <v>100</v>
      </c>
      <c r="D42" s="57">
        <f>Budget!C37</f>
        <v>3.5</v>
      </c>
      <c r="E42" s="26">
        <f>C42*D42</f>
        <v>350</v>
      </c>
      <c r="F42" s="25">
        <f t="shared" ref="F42:G48" si="1">ROUND(E42+E42*0.03,0)</f>
        <v>361</v>
      </c>
      <c r="G42" s="25">
        <f t="shared" si="1"/>
        <v>372</v>
      </c>
      <c r="H42" s="25">
        <f t="shared" si="0"/>
        <v>383</v>
      </c>
      <c r="I42" s="25">
        <f t="shared" si="0"/>
        <v>394</v>
      </c>
      <c r="J42" s="1"/>
      <c r="K42" s="1"/>
    </row>
    <row r="43" spans="2:11" x14ac:dyDescent="0.35">
      <c r="B43" s="12" t="s">
        <v>17</v>
      </c>
      <c r="C43" s="82">
        <f>Budget!B38</f>
        <v>100</v>
      </c>
      <c r="D43" s="57">
        <f>Budget!C38</f>
        <v>3.5</v>
      </c>
      <c r="E43" s="26">
        <f>C43*D43</f>
        <v>350</v>
      </c>
      <c r="F43" s="25">
        <f t="shared" si="1"/>
        <v>361</v>
      </c>
      <c r="G43" s="25">
        <f t="shared" si="1"/>
        <v>372</v>
      </c>
      <c r="H43" s="25">
        <f t="shared" si="0"/>
        <v>383</v>
      </c>
      <c r="I43" s="25">
        <f t="shared" si="0"/>
        <v>394</v>
      </c>
      <c r="J43" s="1"/>
      <c r="K43" s="1"/>
    </row>
    <row r="44" spans="2:11" x14ac:dyDescent="0.35">
      <c r="B44" s="12" t="s">
        <v>18</v>
      </c>
      <c r="C44" s="95">
        <f>Budget!B39</f>
        <v>1</v>
      </c>
      <c r="D44" s="57">
        <f>Budget!C39</f>
        <v>100</v>
      </c>
      <c r="E44" s="26">
        <f>C44*D44</f>
        <v>100</v>
      </c>
      <c r="F44" s="25">
        <f t="shared" si="1"/>
        <v>103</v>
      </c>
      <c r="G44" s="25">
        <f t="shared" si="1"/>
        <v>106</v>
      </c>
      <c r="H44" s="25">
        <f t="shared" si="0"/>
        <v>109</v>
      </c>
      <c r="I44" s="25">
        <f t="shared" si="0"/>
        <v>112</v>
      </c>
      <c r="J44" s="1"/>
      <c r="K44" s="1"/>
    </row>
    <row r="45" spans="2:11" x14ac:dyDescent="0.35">
      <c r="B45" s="12" t="s">
        <v>77</v>
      </c>
      <c r="C45" s="77"/>
      <c r="D45" s="57">
        <f>Budget!C40</f>
        <v>3500</v>
      </c>
      <c r="E45" s="26">
        <f>D45</f>
        <v>3500</v>
      </c>
      <c r="F45" s="25">
        <f t="shared" si="1"/>
        <v>3605</v>
      </c>
      <c r="G45" s="25">
        <f t="shared" si="1"/>
        <v>3713</v>
      </c>
      <c r="H45" s="25">
        <f t="shared" si="0"/>
        <v>3824</v>
      </c>
      <c r="I45" s="25">
        <f t="shared" si="0"/>
        <v>3939</v>
      </c>
      <c r="J45" s="1"/>
      <c r="K45" s="1"/>
    </row>
    <row r="46" spans="2:11" x14ac:dyDescent="0.35">
      <c r="B46" s="12" t="s">
        <v>78</v>
      </c>
      <c r="C46" s="76">
        <f>ROUND(0.75*F17+0.9*F18,0)</f>
        <v>1324</v>
      </c>
      <c r="D46" s="57">
        <f>Budget!C41</f>
        <v>1.25</v>
      </c>
      <c r="E46" s="26">
        <f>C46*D46</f>
        <v>1655</v>
      </c>
      <c r="F46" s="25">
        <f t="shared" si="1"/>
        <v>1705</v>
      </c>
      <c r="G46" s="25">
        <f t="shared" si="1"/>
        <v>1756</v>
      </c>
      <c r="H46" s="25">
        <f t="shared" si="0"/>
        <v>1809</v>
      </c>
      <c r="I46" s="25">
        <f t="shared" si="0"/>
        <v>1863</v>
      </c>
      <c r="J46" s="1"/>
      <c r="K46" s="1"/>
    </row>
    <row r="47" spans="2:11" x14ac:dyDescent="0.35">
      <c r="B47" s="12" t="s">
        <v>108</v>
      </c>
      <c r="C47" s="76"/>
      <c r="D47" s="57">
        <f>Budget!C42</f>
        <v>8000</v>
      </c>
      <c r="E47" s="26">
        <f>D47</f>
        <v>8000</v>
      </c>
      <c r="F47" s="26">
        <f t="shared" si="1"/>
        <v>8240</v>
      </c>
      <c r="G47" s="26">
        <f t="shared" si="1"/>
        <v>8487</v>
      </c>
      <c r="H47" s="26">
        <f t="shared" si="0"/>
        <v>8742</v>
      </c>
      <c r="I47" s="26">
        <f t="shared" si="0"/>
        <v>9004</v>
      </c>
      <c r="J47" s="1"/>
      <c r="K47" s="1"/>
    </row>
    <row r="48" spans="2:11" x14ac:dyDescent="0.35">
      <c r="B48" s="12" t="s">
        <v>66</v>
      </c>
      <c r="C48" s="76"/>
      <c r="D48" s="57">
        <f>Budget!C43</f>
        <v>1000</v>
      </c>
      <c r="E48" s="26">
        <f>D48</f>
        <v>1000</v>
      </c>
      <c r="F48" s="25">
        <f t="shared" si="1"/>
        <v>1030</v>
      </c>
      <c r="G48" s="25">
        <f t="shared" si="1"/>
        <v>1061</v>
      </c>
      <c r="H48" s="25">
        <f t="shared" si="0"/>
        <v>1093</v>
      </c>
      <c r="I48" s="25">
        <f t="shared" si="0"/>
        <v>1126</v>
      </c>
      <c r="J48" s="1"/>
      <c r="K48" s="1"/>
    </row>
    <row r="49" spans="2:11" x14ac:dyDescent="0.35">
      <c r="B49" s="38" t="s">
        <v>68</v>
      </c>
      <c r="C49" s="72"/>
      <c r="D49" s="72"/>
      <c r="E49" s="31"/>
      <c r="F49" s="31"/>
      <c r="G49" s="31"/>
      <c r="H49" s="31"/>
      <c r="I49" s="32"/>
      <c r="J49" s="8"/>
      <c r="K49" s="8"/>
    </row>
    <row r="50" spans="2:11" x14ac:dyDescent="0.35">
      <c r="B50" s="12" t="s">
        <v>48</v>
      </c>
      <c r="C50" s="42">
        <f>Budget!B45</f>
        <v>1</v>
      </c>
      <c r="D50" s="42">
        <f>Budget!C45</f>
        <v>750</v>
      </c>
      <c r="E50" s="61">
        <v>750</v>
      </c>
      <c r="F50" s="25">
        <f>ROUND(E50+E50*0.03,0)</f>
        <v>773</v>
      </c>
      <c r="G50" s="25">
        <f>ROUND(F50+F50*0.03,0)</f>
        <v>796</v>
      </c>
      <c r="H50" s="25">
        <f t="shared" si="0"/>
        <v>820</v>
      </c>
      <c r="I50" s="25">
        <f t="shared" si="0"/>
        <v>845</v>
      </c>
      <c r="J50" s="1"/>
      <c r="K50" s="1"/>
    </row>
    <row r="51" spans="2:11" x14ac:dyDescent="0.35">
      <c r="B51" s="12" t="s">
        <v>49</v>
      </c>
      <c r="C51" s="42">
        <f>Budget!B46</f>
        <v>1</v>
      </c>
      <c r="D51" s="42">
        <f>Budget!C46</f>
        <v>250</v>
      </c>
      <c r="E51" s="61">
        <v>250</v>
      </c>
      <c r="F51" s="25">
        <v>250</v>
      </c>
      <c r="G51" s="25">
        <v>250</v>
      </c>
      <c r="H51" s="25">
        <v>250</v>
      </c>
      <c r="I51" s="25">
        <v>250</v>
      </c>
      <c r="J51" s="1"/>
      <c r="K51" s="1"/>
    </row>
    <row r="52" spans="2:11" x14ac:dyDescent="0.35">
      <c r="B52" s="12" t="s">
        <v>20</v>
      </c>
      <c r="C52" s="42">
        <f>Budget!B47</f>
        <v>1</v>
      </c>
      <c r="D52" s="42">
        <f>Budget!C47</f>
        <v>500</v>
      </c>
      <c r="E52" s="61">
        <v>500</v>
      </c>
      <c r="F52" s="25">
        <f>ROUND(E52+E52*0.03,0)</f>
        <v>515</v>
      </c>
      <c r="G52" s="25">
        <f>ROUND(F52+F52*0.03,0)</f>
        <v>530</v>
      </c>
      <c r="H52" s="25">
        <f t="shared" si="0"/>
        <v>546</v>
      </c>
      <c r="I52" s="25">
        <f t="shared" si="0"/>
        <v>562</v>
      </c>
      <c r="J52" s="1"/>
      <c r="K52" s="1"/>
    </row>
    <row r="53" spans="2:11" x14ac:dyDescent="0.35">
      <c r="B53" s="69" t="s">
        <v>101</v>
      </c>
      <c r="C53" s="81">
        <f>Budget!B48</f>
        <v>1</v>
      </c>
      <c r="D53" s="81">
        <f>Budget!C48</f>
        <v>54</v>
      </c>
      <c r="E53" s="79">
        <v>27</v>
      </c>
      <c r="F53" s="70">
        <v>27</v>
      </c>
      <c r="G53" s="70">
        <v>27</v>
      </c>
      <c r="H53" s="70">
        <v>27</v>
      </c>
      <c r="I53" s="70">
        <v>27</v>
      </c>
      <c r="J53" s="1"/>
      <c r="K53" s="1"/>
    </row>
    <row r="54" spans="2:11" ht="16" thickBot="1" x14ac:dyDescent="0.4">
      <c r="B54" s="23" t="s">
        <v>21</v>
      </c>
      <c r="C54" s="43">
        <f>Budget!B49</f>
        <v>1</v>
      </c>
      <c r="D54" s="43">
        <f>Budget!C49</f>
        <v>100</v>
      </c>
      <c r="E54" s="80">
        <v>100</v>
      </c>
      <c r="F54" s="71">
        <v>100</v>
      </c>
      <c r="G54" s="71">
        <v>100</v>
      </c>
      <c r="H54" s="71">
        <v>100</v>
      </c>
      <c r="I54" s="71">
        <v>100</v>
      </c>
      <c r="J54" s="1"/>
      <c r="K54" s="1"/>
    </row>
    <row r="55" spans="2:11" x14ac:dyDescent="0.35">
      <c r="B55" s="3" t="s">
        <v>22</v>
      </c>
      <c r="C55" s="3"/>
      <c r="D55" s="3"/>
      <c r="E55" s="7">
        <f>SUM(E40:E54)</f>
        <v>39590</v>
      </c>
      <c r="F55" s="7">
        <f>SUM(F40:F54)</f>
        <v>26168</v>
      </c>
      <c r="G55" s="7">
        <f>SUM(G40:G54)</f>
        <v>26761</v>
      </c>
      <c r="H55" s="7">
        <f>SUM(H40:H54)</f>
        <v>27373</v>
      </c>
      <c r="I55" s="7">
        <f>SUM(I40:I54)</f>
        <v>28002</v>
      </c>
      <c r="J55" s="1"/>
      <c r="K55" s="1"/>
    </row>
    <row r="56" spans="2:11" x14ac:dyDescent="0.35">
      <c r="B56" s="3"/>
      <c r="C56" s="3"/>
      <c r="D56" s="3"/>
      <c r="E56" s="7"/>
      <c r="F56" s="7"/>
      <c r="G56" s="7"/>
      <c r="H56" s="7"/>
      <c r="I56" s="7"/>
      <c r="J56" s="1"/>
      <c r="K56" s="1"/>
    </row>
    <row r="57" spans="2:11" x14ac:dyDescent="0.35">
      <c r="B57" s="3"/>
      <c r="C57" s="3"/>
      <c r="D57" s="3"/>
      <c r="E57" s="7"/>
      <c r="F57" s="7"/>
      <c r="G57" s="7"/>
      <c r="H57" s="7"/>
      <c r="I57" s="7"/>
      <c r="J57" s="1"/>
      <c r="K57" s="1"/>
    </row>
    <row r="58" spans="2:11" x14ac:dyDescent="0.35">
      <c r="B58" s="1"/>
      <c r="C58" s="1"/>
      <c r="D58" s="1"/>
      <c r="E58" s="5"/>
      <c r="F58" s="5"/>
      <c r="G58" s="5"/>
      <c r="H58" s="5"/>
      <c r="I58" s="5"/>
      <c r="J58" s="1"/>
      <c r="K58" s="1"/>
    </row>
    <row r="59" spans="2:11" ht="18.5" x14ac:dyDescent="0.45">
      <c r="B59" s="343" t="s">
        <v>76</v>
      </c>
      <c r="C59" s="343"/>
      <c r="D59" s="343"/>
      <c r="E59" s="343"/>
      <c r="F59" s="343"/>
      <c r="G59" s="343"/>
      <c r="H59" s="343"/>
      <c r="I59" s="343"/>
      <c r="J59" s="1"/>
      <c r="K59" s="1"/>
    </row>
    <row r="60" spans="2:11" ht="16" thickBot="1" x14ac:dyDescent="0.4">
      <c r="B60" s="33"/>
      <c r="C60" s="30" t="s">
        <v>3</v>
      </c>
      <c r="D60" s="29" t="s">
        <v>4</v>
      </c>
      <c r="E60" s="29" t="s">
        <v>5</v>
      </c>
      <c r="F60" s="29" t="s">
        <v>6</v>
      </c>
      <c r="G60" s="29" t="s">
        <v>7</v>
      </c>
      <c r="H60" s="1"/>
      <c r="I60" s="1"/>
      <c r="J60" s="1"/>
      <c r="K60" s="1"/>
    </row>
    <row r="61" spans="2:11" x14ac:dyDescent="0.35">
      <c r="B61" s="21" t="s">
        <v>23</v>
      </c>
      <c r="C61" s="93">
        <f>Budget!$B$57</f>
        <v>0</v>
      </c>
      <c r="D61" s="35">
        <f>C68</f>
        <v>16761.499999999993</v>
      </c>
      <c r="E61" s="35">
        <f>D68</f>
        <v>46878.999999999985</v>
      </c>
      <c r="F61" s="35">
        <f>E68</f>
        <v>76336.499999999971</v>
      </c>
      <c r="G61" s="35">
        <f>F68</f>
        <v>105111.99999999997</v>
      </c>
      <c r="H61" s="1"/>
      <c r="I61" s="1"/>
      <c r="J61" s="1"/>
      <c r="K61" s="1"/>
    </row>
    <row r="62" spans="2:11" x14ac:dyDescent="0.35">
      <c r="B62" s="12" t="s">
        <v>24</v>
      </c>
      <c r="C62" s="34">
        <f>F90</f>
        <v>58537.499999999993</v>
      </c>
      <c r="D62" s="34">
        <f>F90</f>
        <v>58537.499999999993</v>
      </c>
      <c r="E62" s="34">
        <f>F90</f>
        <v>58537.499999999993</v>
      </c>
      <c r="F62" s="34">
        <f>F90</f>
        <v>58537.499999999993</v>
      </c>
      <c r="G62" s="34">
        <f>F90</f>
        <v>58537.499999999993</v>
      </c>
      <c r="H62" s="1"/>
      <c r="I62" s="1"/>
      <c r="J62" s="1"/>
      <c r="K62" s="1"/>
    </row>
    <row r="63" spans="2:11" x14ac:dyDescent="0.35">
      <c r="B63" s="12" t="s">
        <v>25</v>
      </c>
      <c r="C63" s="34"/>
      <c r="D63" s="34"/>
      <c r="E63" s="34"/>
      <c r="F63" s="34"/>
      <c r="G63" s="34"/>
      <c r="H63" s="1"/>
      <c r="I63" s="1"/>
      <c r="J63" s="1"/>
      <c r="K63" s="1"/>
    </row>
    <row r="64" spans="2:11" x14ac:dyDescent="0.35">
      <c r="B64" s="12" t="s">
        <v>64</v>
      </c>
      <c r="C64" s="34">
        <f>E55</f>
        <v>39590</v>
      </c>
      <c r="D64" s="34">
        <f>F55</f>
        <v>26168</v>
      </c>
      <c r="E64" s="34">
        <f>G55</f>
        <v>26761</v>
      </c>
      <c r="F64" s="34">
        <f>H55</f>
        <v>27373</v>
      </c>
      <c r="G64" s="34">
        <f>I55</f>
        <v>28002</v>
      </c>
      <c r="H64" s="1"/>
      <c r="I64" s="1"/>
      <c r="J64" s="1"/>
      <c r="K64" s="1"/>
    </row>
    <row r="65" spans="2:11" x14ac:dyDescent="0.35">
      <c r="B65" s="12" t="s">
        <v>65</v>
      </c>
      <c r="C65" s="34">
        <f>G29</f>
        <v>2186</v>
      </c>
      <c r="D65" s="34">
        <f>H29</f>
        <v>2252</v>
      </c>
      <c r="E65" s="34">
        <f>I29</f>
        <v>2319</v>
      </c>
      <c r="F65" s="34">
        <f>J29</f>
        <v>2389</v>
      </c>
      <c r="G65" s="34">
        <f>K29</f>
        <v>2460</v>
      </c>
      <c r="H65" s="1"/>
      <c r="I65" s="1"/>
      <c r="J65" s="1"/>
      <c r="K65" s="1"/>
    </row>
    <row r="66" spans="2:11" x14ac:dyDescent="0.35">
      <c r="B66" s="12" t="s">
        <v>28</v>
      </c>
      <c r="C66" s="34">
        <f>C64+C65</f>
        <v>41776</v>
      </c>
      <c r="D66" s="34">
        <f>D64+D65</f>
        <v>28420</v>
      </c>
      <c r="E66" s="34">
        <f>E64+E65</f>
        <v>29080</v>
      </c>
      <c r="F66" s="34">
        <f>F64+F65</f>
        <v>29762</v>
      </c>
      <c r="G66" s="34">
        <f>G64+G65</f>
        <v>30462</v>
      </c>
      <c r="H66" s="1"/>
      <c r="I66" s="1"/>
      <c r="J66" s="1"/>
      <c r="K66" s="1"/>
    </row>
    <row r="67" spans="2:11" x14ac:dyDescent="0.35">
      <c r="B67" s="12" t="s">
        <v>26</v>
      </c>
      <c r="C67" s="34">
        <f>C62-C66</f>
        <v>16761.499999999993</v>
      </c>
      <c r="D67" s="34">
        <f>D62-D66</f>
        <v>30117.499999999993</v>
      </c>
      <c r="E67" s="34">
        <f>E62-E66</f>
        <v>29457.499999999993</v>
      </c>
      <c r="F67" s="34">
        <f>F62-F66</f>
        <v>28775.499999999993</v>
      </c>
      <c r="G67" s="34">
        <f>G62-G66</f>
        <v>28075.499999999993</v>
      </c>
      <c r="H67" s="1"/>
      <c r="I67" s="1"/>
      <c r="J67" s="1"/>
      <c r="K67" s="1"/>
    </row>
    <row r="68" spans="2:11" x14ac:dyDescent="0.35">
      <c r="B68" s="12" t="s">
        <v>27</v>
      </c>
      <c r="C68" s="34">
        <f>C61+C67</f>
        <v>16761.499999999993</v>
      </c>
      <c r="D68" s="34">
        <f>D61+D67</f>
        <v>46878.999999999985</v>
      </c>
      <c r="E68" s="34">
        <f>E61+E67</f>
        <v>76336.499999999971</v>
      </c>
      <c r="F68" s="34">
        <f>F61+F67</f>
        <v>105111.99999999997</v>
      </c>
      <c r="G68" s="34">
        <f>G61+G67</f>
        <v>133187.49999999997</v>
      </c>
      <c r="H68" s="1"/>
      <c r="I68" s="1"/>
      <c r="J68" s="1"/>
      <c r="K68" s="1"/>
    </row>
    <row r="69" spans="2:11" x14ac:dyDescent="0.35">
      <c r="B69" s="1"/>
      <c r="C69" s="1"/>
      <c r="D69" s="1"/>
      <c r="E69" s="36"/>
      <c r="F69" s="36"/>
      <c r="G69" s="36"/>
      <c r="H69" s="36"/>
      <c r="I69" s="36"/>
      <c r="J69" s="1"/>
      <c r="K69" s="1"/>
    </row>
    <row r="70" spans="2:11" ht="21.5" x14ac:dyDescent="0.75">
      <c r="B70" s="68"/>
      <c r="C70" s="68"/>
      <c r="D70" s="68"/>
      <c r="E70" s="342" t="s">
        <v>115</v>
      </c>
      <c r="F70" s="342"/>
      <c r="G70" s="1"/>
      <c r="H70" s="1"/>
      <c r="I70" s="1"/>
      <c r="J70" s="1"/>
      <c r="K70" s="1"/>
    </row>
    <row r="71" spans="2:11" x14ac:dyDescent="0.35">
      <c r="B71" s="68"/>
      <c r="C71" s="68"/>
      <c r="D71" s="68"/>
      <c r="E71" s="88"/>
      <c r="F71" s="88"/>
      <c r="G71" s="1"/>
      <c r="H71" s="1"/>
      <c r="I71" s="1"/>
      <c r="J71" s="1"/>
      <c r="K71" s="1"/>
    </row>
    <row r="72" spans="2:11" ht="16" thickBot="1" x14ac:dyDescent="0.4">
      <c r="B72" s="19" t="str">
        <f>Budget!A69</f>
        <v>Capital Item</v>
      </c>
      <c r="C72" s="30" t="str">
        <f>Budget!B69</f>
        <v>Unit Cost</v>
      </c>
      <c r="D72" s="29" t="str">
        <f>Budget!C69</f>
        <v>Years of Life</v>
      </c>
      <c r="E72" s="29" t="str">
        <f>Budget!D69</f>
        <v>Year 1</v>
      </c>
      <c r="F72" s="29" t="str">
        <f>Budget!E69</f>
        <v>Year 2</v>
      </c>
      <c r="G72" s="29" t="str">
        <f>Budget!F69</f>
        <v>Year 3</v>
      </c>
      <c r="H72" s="29" t="str">
        <f>Budget!G69</f>
        <v>Year 4</v>
      </c>
      <c r="I72" s="29" t="str">
        <f>Budget!H69</f>
        <v>Year 5</v>
      </c>
      <c r="J72" s="1"/>
      <c r="K72" s="1"/>
    </row>
    <row r="73" spans="2:11" x14ac:dyDescent="0.35">
      <c r="B73" s="21" t="str">
        <f>Budget!A70</f>
        <v>Nursery Bag</v>
      </c>
      <c r="C73" s="87">
        <f>Budget!B70</f>
        <v>9</v>
      </c>
      <c r="D73" s="84">
        <f>Budget!C70</f>
        <v>4</v>
      </c>
      <c r="E73" s="22">
        <f>Budget!D70</f>
        <v>450</v>
      </c>
      <c r="F73" s="22">
        <f>Budget!E70</f>
        <v>464</v>
      </c>
      <c r="G73" s="22">
        <f>Budget!F70</f>
        <v>478</v>
      </c>
      <c r="H73" s="22">
        <f>Budget!G70</f>
        <v>492</v>
      </c>
      <c r="I73" s="22">
        <f>Budget!H70</f>
        <v>507</v>
      </c>
      <c r="J73" s="1"/>
      <c r="K73" s="1"/>
    </row>
    <row r="74" spans="2:11" x14ac:dyDescent="0.35">
      <c r="B74" s="12" t="str">
        <f>Budget!A71</f>
        <v>Growout Bag</v>
      </c>
      <c r="C74" s="87">
        <f>Budget!B71</f>
        <v>8</v>
      </c>
      <c r="D74" s="85">
        <f>Budget!C71</f>
        <v>6</v>
      </c>
      <c r="E74" s="22">
        <f>Budget!D71</f>
        <v>1739</v>
      </c>
      <c r="F74" s="22">
        <f>Budget!E71</f>
        <v>1791</v>
      </c>
      <c r="G74" s="22">
        <f>Budget!F71</f>
        <v>1845</v>
      </c>
      <c r="H74" s="22">
        <f>Budget!G71</f>
        <v>1900</v>
      </c>
      <c r="I74" s="22">
        <f>Budget!H71</f>
        <v>1957</v>
      </c>
      <c r="J74" s="1"/>
      <c r="K74" s="1"/>
    </row>
    <row r="75" spans="2:11" x14ac:dyDescent="0.35">
      <c r="B75" s="12" t="str">
        <f>Budget!A72</f>
        <v>Wet Suit</v>
      </c>
      <c r="C75" s="87">
        <f>Budget!B72</f>
        <v>250</v>
      </c>
      <c r="D75" s="85">
        <f>Budget!C72</f>
        <v>3</v>
      </c>
      <c r="E75" s="20">
        <f>Budget!D72</f>
        <v>83.333333333333329</v>
      </c>
      <c r="F75" s="20">
        <f>Budget!E72</f>
        <v>86</v>
      </c>
      <c r="G75" s="20">
        <f>Budget!F72</f>
        <v>89</v>
      </c>
      <c r="H75" s="20">
        <f>Budget!G72</f>
        <v>92</v>
      </c>
      <c r="I75" s="20">
        <f>Budget!H72</f>
        <v>95</v>
      </c>
      <c r="J75" s="1"/>
      <c r="K75" s="1"/>
    </row>
    <row r="76" spans="2:11" x14ac:dyDescent="0.35">
      <c r="B76" s="12" t="str">
        <f>Budget!A73</f>
        <v>Boat</v>
      </c>
      <c r="C76" s="87">
        <f>Budget!B73</f>
        <v>25000</v>
      </c>
      <c r="D76" s="85">
        <f>Budget!C73</f>
        <v>20</v>
      </c>
      <c r="E76" s="20">
        <f>Budget!D73</f>
        <v>1250</v>
      </c>
      <c r="F76" s="20">
        <f>Budget!E73</f>
        <v>1288</v>
      </c>
      <c r="G76" s="20">
        <f>Budget!F73</f>
        <v>1326</v>
      </c>
      <c r="H76" s="20">
        <f>Budget!G73</f>
        <v>1366</v>
      </c>
      <c r="I76" s="20">
        <f>Budget!H73</f>
        <v>1407</v>
      </c>
      <c r="J76" s="1"/>
      <c r="K76" s="1"/>
    </row>
    <row r="77" spans="2:11" x14ac:dyDescent="0.35">
      <c r="B77" s="12" t="str">
        <f>Budget!A74</f>
        <v>Truck</v>
      </c>
      <c r="C77" s="87">
        <f>Budget!B74</f>
        <v>35000</v>
      </c>
      <c r="D77" s="85">
        <f>Budget!C74</f>
        <v>20</v>
      </c>
      <c r="E77" s="20">
        <f>Budget!D74</f>
        <v>1750</v>
      </c>
      <c r="F77" s="20">
        <f>Budget!E74</f>
        <v>1803</v>
      </c>
      <c r="G77" s="20">
        <f>Budget!F74</f>
        <v>1857</v>
      </c>
      <c r="H77" s="20">
        <f>Budget!G74</f>
        <v>1912</v>
      </c>
      <c r="I77" s="20">
        <f>Budget!H74</f>
        <v>1970</v>
      </c>
      <c r="J77" s="1"/>
      <c r="K77" s="1"/>
    </row>
    <row r="78" spans="2:11" x14ac:dyDescent="0.35">
      <c r="B78" s="12" t="str">
        <f>Budget!A75</f>
        <v>Motor</v>
      </c>
      <c r="C78" s="87">
        <f>Budget!B75</f>
        <v>10000</v>
      </c>
      <c r="D78" s="85">
        <f>Budget!C75</f>
        <v>10</v>
      </c>
      <c r="E78" s="20">
        <f>Budget!D75</f>
        <v>1000</v>
      </c>
      <c r="F78" s="20">
        <f>Budget!E75</f>
        <v>1030</v>
      </c>
      <c r="G78" s="20">
        <f>Budget!F75</f>
        <v>1061</v>
      </c>
      <c r="H78" s="20">
        <f>Budget!G75</f>
        <v>1093</v>
      </c>
      <c r="I78" s="20">
        <f>Budget!H75</f>
        <v>1126</v>
      </c>
      <c r="J78" s="1"/>
      <c r="K78" s="1"/>
    </row>
    <row r="79" spans="2:11" ht="44" thickBot="1" x14ac:dyDescent="0.4">
      <c r="B79" s="62" t="str">
        <f>Budget!A76</f>
        <v>Winch/Davit/Boom/Pulley/Batteries</v>
      </c>
      <c r="C79" s="80">
        <f>Budget!B76</f>
        <v>1000</v>
      </c>
      <c r="D79" s="86">
        <f>Budget!C76</f>
        <v>10</v>
      </c>
      <c r="E79" s="24">
        <f>Budget!D76</f>
        <v>100</v>
      </c>
      <c r="F79" s="24">
        <f>Budget!E76</f>
        <v>103</v>
      </c>
      <c r="G79" s="24">
        <f>Budget!F76</f>
        <v>106</v>
      </c>
      <c r="H79" s="24">
        <f>Budget!G76</f>
        <v>109</v>
      </c>
      <c r="I79" s="24">
        <f>Budget!H76</f>
        <v>112</v>
      </c>
      <c r="J79" s="1"/>
      <c r="K79" s="1"/>
    </row>
    <row r="80" spans="2:11" x14ac:dyDescent="0.35">
      <c r="B80" s="3" t="str">
        <f>Budget!A77</f>
        <v xml:space="preserve">Total Investment </v>
      </c>
      <c r="C80" s="4">
        <f>Budget!B77</f>
        <v>0</v>
      </c>
      <c r="D80" s="1">
        <f>Budget!C77</f>
        <v>0</v>
      </c>
      <c r="E80" s="11">
        <f>Budget!D77</f>
        <v>6372.3333333333339</v>
      </c>
      <c r="F80" s="11">
        <f>Budget!E77</f>
        <v>6565</v>
      </c>
      <c r="G80" s="11">
        <f>Budget!F77</f>
        <v>6762</v>
      </c>
      <c r="H80" s="11">
        <f>Budget!G77</f>
        <v>6964</v>
      </c>
      <c r="I80" s="11">
        <f>Budget!H77</f>
        <v>7174</v>
      </c>
      <c r="J80" s="1"/>
      <c r="K80" s="1"/>
    </row>
    <row r="81" spans="2:11" x14ac:dyDescent="0.35">
      <c r="B81" s="1"/>
      <c r="C81" s="1"/>
      <c r="D81" s="1"/>
      <c r="E81" s="36"/>
      <c r="F81" s="36"/>
      <c r="G81" s="36"/>
      <c r="H81" s="36"/>
      <c r="I81" s="36"/>
      <c r="J81" s="1"/>
      <c r="K81" s="1"/>
    </row>
    <row r="82" spans="2:11" x14ac:dyDescent="0.35">
      <c r="B82" s="1"/>
      <c r="C82" s="1"/>
      <c r="D82" s="1"/>
      <c r="E82" s="4"/>
      <c r="F82" s="1"/>
      <c r="G82" s="1"/>
      <c r="H82" s="1"/>
      <c r="I82" s="1"/>
      <c r="J82" s="1"/>
      <c r="K82" s="1"/>
    </row>
    <row r="83" spans="2:11" ht="18.5" x14ac:dyDescent="0.45">
      <c r="B83" s="343" t="s">
        <v>75</v>
      </c>
      <c r="C83" s="343"/>
      <c r="D83" s="343"/>
      <c r="E83" s="343"/>
      <c r="F83" s="343"/>
      <c r="G83" s="343"/>
      <c r="H83" s="44"/>
      <c r="I83" s="44"/>
      <c r="J83" s="1"/>
      <c r="K83" s="1"/>
    </row>
    <row r="84" spans="2:11" ht="16" thickBot="1" x14ac:dyDescent="0.4">
      <c r="B84" s="29" t="s">
        <v>29</v>
      </c>
      <c r="C84" s="29"/>
      <c r="D84" s="30" t="s">
        <v>30</v>
      </c>
      <c r="E84" s="29" t="s">
        <v>31</v>
      </c>
      <c r="F84" s="29" t="s">
        <v>32</v>
      </c>
      <c r="G84" s="1"/>
      <c r="H84" s="1"/>
      <c r="I84" s="1"/>
      <c r="J84" s="1"/>
      <c r="K84" s="1"/>
    </row>
    <row r="85" spans="2:11" x14ac:dyDescent="0.35">
      <c r="B85" s="27" t="s">
        <v>33</v>
      </c>
      <c r="C85" s="27"/>
      <c r="D85" s="4"/>
      <c r="E85" s="1"/>
      <c r="F85" s="1"/>
      <c r="G85" s="1"/>
      <c r="H85" s="1"/>
      <c r="I85" s="1"/>
      <c r="J85" s="1"/>
      <c r="K85" s="1"/>
    </row>
    <row r="86" spans="2:11" x14ac:dyDescent="0.35">
      <c r="B86" s="1" t="s">
        <v>34</v>
      </c>
      <c r="C86" s="1"/>
      <c r="D86" s="45">
        <f>F13*D90</f>
        <v>839999.99999999988</v>
      </c>
      <c r="E86" s="46">
        <f>I7</f>
        <v>0.06</v>
      </c>
      <c r="F86" s="7">
        <f>E86*D86</f>
        <v>50399.999999999993</v>
      </c>
      <c r="G86" s="1"/>
      <c r="H86" s="1"/>
      <c r="I86" s="1"/>
      <c r="J86" s="1"/>
      <c r="K86" s="1"/>
    </row>
    <row r="87" spans="2:11" x14ac:dyDescent="0.35">
      <c r="B87" s="1" t="s">
        <v>35</v>
      </c>
      <c r="C87" s="1"/>
      <c r="D87" s="45">
        <f>F14*D90</f>
        <v>157499.99999999997</v>
      </c>
      <c r="E87" s="46">
        <f>I8</f>
        <v>3.9999999999999994E-2</v>
      </c>
      <c r="F87" s="7">
        <f>E87*D87</f>
        <v>6299.9999999999982</v>
      </c>
      <c r="G87" s="1"/>
      <c r="H87" s="1"/>
      <c r="I87" s="1"/>
      <c r="J87" s="1"/>
      <c r="K87" s="1"/>
    </row>
    <row r="88" spans="2:11" x14ac:dyDescent="0.35">
      <c r="B88" s="1" t="s">
        <v>36</v>
      </c>
      <c r="C88" s="1"/>
      <c r="D88" s="45">
        <f>F15*D90</f>
        <v>52499.999999999993</v>
      </c>
      <c r="E88" s="47">
        <f>I9</f>
        <v>3.5000000000000003E-2</v>
      </c>
      <c r="F88" s="9">
        <f>E88*D88</f>
        <v>1837.5</v>
      </c>
      <c r="G88" s="1"/>
      <c r="H88" s="1"/>
      <c r="I88" s="1"/>
      <c r="J88" s="1"/>
      <c r="K88" s="1"/>
    </row>
    <row r="89" spans="2:11" x14ac:dyDescent="0.35">
      <c r="B89" s="341"/>
      <c r="C89" s="341"/>
      <c r="D89" s="341"/>
      <c r="E89" s="341"/>
      <c r="F89" s="341"/>
      <c r="G89" s="341"/>
      <c r="H89" s="1"/>
      <c r="I89" s="1"/>
      <c r="J89" s="1"/>
      <c r="K89" s="1"/>
    </row>
    <row r="90" spans="2:11" x14ac:dyDescent="0.35">
      <c r="B90" s="3" t="s">
        <v>79</v>
      </c>
      <c r="C90" s="3"/>
      <c r="D90" s="45">
        <f>D93*F11</f>
        <v>1049999.9999999998</v>
      </c>
      <c r="E90" s="46"/>
      <c r="F90" s="48">
        <f>SUM(F86:F88)</f>
        <v>58537.499999999993</v>
      </c>
      <c r="G90" s="1"/>
      <c r="H90" s="1"/>
      <c r="I90" s="1"/>
      <c r="J90" s="1"/>
      <c r="K90" s="1"/>
    </row>
    <row r="91" spans="2:11" x14ac:dyDescent="0.35">
      <c r="B91" s="341"/>
      <c r="C91" s="341"/>
      <c r="D91" s="341"/>
      <c r="E91" s="341"/>
      <c r="F91" s="341"/>
      <c r="G91" s="341"/>
      <c r="H91" s="1"/>
      <c r="I91" s="1"/>
      <c r="J91" s="1"/>
      <c r="K91" s="1"/>
    </row>
    <row r="92" spans="2:11" x14ac:dyDescent="0.35">
      <c r="B92" s="27" t="s">
        <v>14</v>
      </c>
      <c r="C92" s="27"/>
      <c r="D92" s="27"/>
      <c r="E92" s="45"/>
      <c r="F92" s="46"/>
      <c r="G92" s="7"/>
      <c r="H92" s="1"/>
      <c r="I92" s="1"/>
      <c r="J92" s="1"/>
      <c r="K92" s="1"/>
    </row>
    <row r="93" spans="2:11" x14ac:dyDescent="0.35">
      <c r="B93" s="1" t="s">
        <v>82</v>
      </c>
      <c r="C93" s="1"/>
      <c r="D93" s="45">
        <f>F5</f>
        <v>2000000</v>
      </c>
      <c r="E93" s="47">
        <f>I5</f>
        <v>0.01</v>
      </c>
      <c r="F93" s="7">
        <f>E93*D93</f>
        <v>20000</v>
      </c>
      <c r="G93" s="1"/>
      <c r="H93" s="1"/>
      <c r="I93" s="1"/>
      <c r="J93" s="1"/>
      <c r="K93" s="1"/>
    </row>
    <row r="94" spans="2:11" x14ac:dyDescent="0.35">
      <c r="B94" s="1" t="s">
        <v>83</v>
      </c>
      <c r="C94" s="1"/>
      <c r="D94" s="45">
        <f>F18+F17</f>
        <v>1504</v>
      </c>
      <c r="E94" s="7">
        <f>D41</f>
        <v>2</v>
      </c>
      <c r="F94" s="7">
        <f>E94*D94</f>
        <v>3008</v>
      </c>
      <c r="G94" s="1"/>
      <c r="H94" s="1"/>
      <c r="I94" s="1"/>
      <c r="J94" s="1"/>
      <c r="K94" s="1"/>
    </row>
    <row r="95" spans="2:11" x14ac:dyDescent="0.35">
      <c r="B95" s="1" t="s">
        <v>84</v>
      </c>
      <c r="C95" s="1"/>
      <c r="D95" s="45">
        <f>C42</f>
        <v>100</v>
      </c>
      <c r="E95" s="46">
        <f>D42</f>
        <v>3.5</v>
      </c>
      <c r="F95" s="7">
        <f>ROUND(E95*D95,0)</f>
        <v>350</v>
      </c>
      <c r="G95" s="1"/>
      <c r="H95" s="1"/>
      <c r="I95" s="1"/>
      <c r="J95" s="1"/>
      <c r="K95" s="1"/>
    </row>
    <row r="96" spans="2:11" x14ac:dyDescent="0.35">
      <c r="B96" s="1" t="s">
        <v>85</v>
      </c>
      <c r="C96" s="1"/>
      <c r="D96" s="45">
        <f>C43</f>
        <v>100</v>
      </c>
      <c r="E96" s="46">
        <f>D43</f>
        <v>3.5</v>
      </c>
      <c r="F96" s="7">
        <f>ROUND(E96*D96,0)</f>
        <v>350</v>
      </c>
      <c r="G96" s="1"/>
      <c r="H96" s="1"/>
      <c r="I96" s="1"/>
      <c r="J96" s="1"/>
      <c r="K96" s="1"/>
    </row>
    <row r="97" spans="2:11" x14ac:dyDescent="0.35">
      <c r="B97" s="1" t="s">
        <v>106</v>
      </c>
      <c r="C97" s="1"/>
      <c r="D97" s="45"/>
      <c r="E97" s="4"/>
      <c r="F97" s="7">
        <f>D45</f>
        <v>3500</v>
      </c>
      <c r="G97" s="1"/>
      <c r="H97" s="1"/>
      <c r="I97" s="1"/>
      <c r="J97" s="1"/>
      <c r="K97" s="1"/>
    </row>
    <row r="98" spans="2:11" x14ac:dyDescent="0.35">
      <c r="B98" s="1" t="s">
        <v>86</v>
      </c>
      <c r="C98" s="1"/>
      <c r="D98" s="45">
        <f>C46</f>
        <v>1324</v>
      </c>
      <c r="E98" s="46">
        <f>D46</f>
        <v>1.25</v>
      </c>
      <c r="F98" s="7">
        <f>ROUND(E98*D98,0)</f>
        <v>1655</v>
      </c>
      <c r="G98" s="1"/>
      <c r="H98" s="1"/>
      <c r="I98" s="1"/>
      <c r="J98" s="1"/>
      <c r="K98" s="1"/>
    </row>
    <row r="99" spans="2:11" x14ac:dyDescent="0.35">
      <c r="B99" s="1" t="s">
        <v>87</v>
      </c>
      <c r="C99" s="1"/>
      <c r="D99" s="45">
        <f>C44</f>
        <v>1</v>
      </c>
      <c r="E99" s="7">
        <f>D44</f>
        <v>100</v>
      </c>
      <c r="F99" s="7">
        <f>D99*E99</f>
        <v>100</v>
      </c>
      <c r="G99" s="1"/>
      <c r="H99" s="1"/>
      <c r="I99" s="1"/>
      <c r="J99" s="1"/>
      <c r="K99" s="1"/>
    </row>
    <row r="100" spans="2:11" x14ac:dyDescent="0.35">
      <c r="B100" s="1" t="s">
        <v>102</v>
      </c>
      <c r="C100" s="1"/>
      <c r="D100" s="45"/>
      <c r="E100" s="7"/>
      <c r="F100" s="7">
        <f>D47</f>
        <v>8000</v>
      </c>
      <c r="G100" s="1"/>
      <c r="H100" s="1"/>
      <c r="I100" s="1"/>
      <c r="J100" s="1"/>
      <c r="K100" s="1"/>
    </row>
    <row r="101" spans="2:11" x14ac:dyDescent="0.35">
      <c r="B101" s="1" t="s">
        <v>80</v>
      </c>
      <c r="C101" s="1"/>
      <c r="D101" s="45"/>
      <c r="E101" s="46"/>
      <c r="F101" s="9">
        <f>D48</f>
        <v>1000</v>
      </c>
      <c r="G101" s="1"/>
      <c r="H101" s="1"/>
      <c r="I101" s="1"/>
      <c r="J101" s="1"/>
      <c r="K101" s="1"/>
    </row>
    <row r="102" spans="2:11" x14ac:dyDescent="0.35">
      <c r="B102" s="3" t="s">
        <v>37</v>
      </c>
      <c r="C102" s="3"/>
      <c r="D102" s="3"/>
      <c r="E102" s="45"/>
      <c r="F102" s="7">
        <f>SUM(F93:F101)</f>
        <v>37963</v>
      </c>
      <c r="G102" s="48"/>
      <c r="H102" s="1"/>
      <c r="I102" s="1"/>
      <c r="J102" s="1"/>
      <c r="K102" s="1"/>
    </row>
    <row r="103" spans="2:11" x14ac:dyDescent="0.35">
      <c r="B103" s="341"/>
      <c r="C103" s="341"/>
      <c r="D103" s="341"/>
      <c r="E103" s="341"/>
      <c r="F103" s="341"/>
      <c r="G103" s="341"/>
      <c r="H103" s="1"/>
      <c r="I103" s="1"/>
      <c r="J103" s="1"/>
      <c r="K103" s="1"/>
    </row>
    <row r="104" spans="2:11" x14ac:dyDescent="0.35">
      <c r="B104" s="27" t="s">
        <v>38</v>
      </c>
      <c r="C104" s="27"/>
      <c r="D104" s="27"/>
      <c r="E104" s="45"/>
      <c r="F104" s="46"/>
      <c r="G104" s="7"/>
      <c r="H104" s="1"/>
      <c r="I104" s="1"/>
      <c r="J104" s="1"/>
      <c r="K104" s="1"/>
    </row>
    <row r="105" spans="2:11" x14ac:dyDescent="0.35">
      <c r="B105" s="68" t="s">
        <v>19</v>
      </c>
      <c r="C105" s="1"/>
      <c r="D105" s="1"/>
      <c r="E105" s="4"/>
      <c r="F105" s="1"/>
      <c r="G105" s="1"/>
      <c r="H105" s="1"/>
      <c r="I105" s="1"/>
      <c r="J105" s="1"/>
      <c r="K105" s="1"/>
    </row>
    <row r="106" spans="2:11" x14ac:dyDescent="0.35">
      <c r="B106" s="1" t="s">
        <v>111</v>
      </c>
      <c r="C106" s="1"/>
      <c r="D106" s="45">
        <f t="shared" ref="D106:E110" si="2">C50</f>
        <v>1</v>
      </c>
      <c r="E106" s="7">
        <f t="shared" si="2"/>
        <v>750</v>
      </c>
      <c r="F106" s="7">
        <f>E106*D106</f>
        <v>750</v>
      </c>
      <c r="G106" s="1"/>
      <c r="H106" s="1"/>
      <c r="I106" s="1"/>
      <c r="J106" s="1"/>
      <c r="K106" s="1"/>
    </row>
    <row r="107" spans="2:11" x14ac:dyDescent="0.35">
      <c r="B107" s="1" t="s">
        <v>112</v>
      </c>
      <c r="C107" s="1"/>
      <c r="D107" s="45">
        <f t="shared" si="2"/>
        <v>1</v>
      </c>
      <c r="E107" s="7">
        <f t="shared" si="2"/>
        <v>250</v>
      </c>
      <c r="F107" s="7">
        <f>D107*E107</f>
        <v>250</v>
      </c>
      <c r="G107" s="1"/>
      <c r="H107" s="1"/>
      <c r="I107" s="1"/>
      <c r="J107" s="1"/>
      <c r="K107" s="1"/>
    </row>
    <row r="108" spans="2:11" x14ac:dyDescent="0.35">
      <c r="B108" s="1" t="s">
        <v>81</v>
      </c>
      <c r="C108" s="1"/>
      <c r="D108" s="45">
        <f t="shared" si="2"/>
        <v>1</v>
      </c>
      <c r="E108" s="7">
        <f t="shared" si="2"/>
        <v>500</v>
      </c>
      <c r="F108" s="7">
        <f>E108*D108</f>
        <v>500</v>
      </c>
      <c r="G108" s="1"/>
      <c r="H108" s="1"/>
      <c r="I108" s="1"/>
      <c r="J108" s="1"/>
      <c r="K108" s="1"/>
    </row>
    <row r="109" spans="2:11" x14ac:dyDescent="0.35">
      <c r="B109" s="1" t="s">
        <v>109</v>
      </c>
      <c r="C109" s="1"/>
      <c r="D109" s="45">
        <f t="shared" si="2"/>
        <v>1</v>
      </c>
      <c r="E109" s="7">
        <f t="shared" si="2"/>
        <v>54</v>
      </c>
      <c r="F109" s="7">
        <f>D109*E109</f>
        <v>54</v>
      </c>
      <c r="G109" s="1"/>
      <c r="H109" s="1"/>
      <c r="I109" s="1"/>
      <c r="J109" s="1"/>
      <c r="K109" s="1"/>
    </row>
    <row r="110" spans="2:11" x14ac:dyDescent="0.35">
      <c r="B110" s="1" t="s">
        <v>110</v>
      </c>
      <c r="C110" s="1"/>
      <c r="D110" s="45">
        <f t="shared" si="2"/>
        <v>1</v>
      </c>
      <c r="E110" s="7">
        <f t="shared" si="2"/>
        <v>100</v>
      </c>
      <c r="F110" s="7">
        <f>E110*D110</f>
        <v>100</v>
      </c>
      <c r="G110" s="1"/>
      <c r="H110" s="1"/>
      <c r="I110" s="1"/>
      <c r="J110" s="1"/>
      <c r="K110" s="1"/>
    </row>
    <row r="111" spans="2:11" x14ac:dyDescent="0.35">
      <c r="B111" s="341"/>
      <c r="C111" s="341"/>
      <c r="D111" s="341"/>
      <c r="E111" s="341"/>
      <c r="F111" s="341"/>
      <c r="G111" s="341"/>
      <c r="H111" s="1"/>
      <c r="I111" s="1"/>
      <c r="J111" s="1"/>
      <c r="K111" s="1"/>
    </row>
    <row r="112" spans="2:11" x14ac:dyDescent="0.35">
      <c r="B112" s="1" t="s">
        <v>39</v>
      </c>
      <c r="C112" s="1"/>
      <c r="D112" s="1"/>
      <c r="E112" s="4"/>
      <c r="F112" s="7">
        <f>ROUND(AVERAGE(G29:K29),0)</f>
        <v>2321</v>
      </c>
      <c r="G112" s="1"/>
      <c r="H112" s="1"/>
      <c r="I112" s="1"/>
      <c r="J112" s="1"/>
      <c r="K112" s="1"/>
    </row>
    <row r="113" spans="2:11" x14ac:dyDescent="0.35">
      <c r="B113" s="1" t="s">
        <v>40</v>
      </c>
      <c r="C113" s="1"/>
      <c r="D113" s="1"/>
      <c r="E113" s="4"/>
      <c r="F113" s="9">
        <f>AVERAGE(E80:I80)</f>
        <v>6767.4666666666672</v>
      </c>
      <c r="G113" s="1"/>
      <c r="H113" s="1"/>
      <c r="I113" s="1"/>
      <c r="J113" s="1"/>
      <c r="K113" s="1"/>
    </row>
    <row r="114" spans="2:11" x14ac:dyDescent="0.35">
      <c r="B114" s="3" t="s">
        <v>41</v>
      </c>
      <c r="C114" s="3"/>
      <c r="D114" s="3"/>
      <c r="E114" s="4"/>
      <c r="F114" s="48">
        <f>SUM(F106:F113)</f>
        <v>10742.466666666667</v>
      </c>
      <c r="G114" s="1"/>
      <c r="H114" s="1"/>
      <c r="I114" s="1"/>
      <c r="J114" s="1"/>
      <c r="K114" s="1"/>
    </row>
    <row r="115" spans="2:11" x14ac:dyDescent="0.35">
      <c r="B115" s="3"/>
      <c r="C115" s="3"/>
      <c r="D115" s="3"/>
      <c r="E115" s="4"/>
      <c r="F115" s="48"/>
      <c r="G115" s="1"/>
      <c r="H115" s="1"/>
      <c r="I115" s="1"/>
      <c r="J115" s="1"/>
      <c r="K115" s="1"/>
    </row>
    <row r="116" spans="2:11" x14ac:dyDescent="0.35">
      <c r="B116" s="27" t="s">
        <v>89</v>
      </c>
      <c r="C116" s="27"/>
      <c r="D116" s="27"/>
      <c r="E116" s="4"/>
      <c r="F116" s="48">
        <f>F114+F102</f>
        <v>48705.466666666667</v>
      </c>
      <c r="G116" s="1"/>
      <c r="H116" s="1"/>
      <c r="I116" s="1"/>
      <c r="J116" s="1"/>
      <c r="K116" s="1"/>
    </row>
    <row r="117" spans="2:11" x14ac:dyDescent="0.35">
      <c r="B117" s="27"/>
      <c r="C117" s="27"/>
      <c r="D117" s="27"/>
      <c r="E117" s="4"/>
      <c r="F117" s="7"/>
      <c r="G117" s="1"/>
      <c r="H117" s="1"/>
      <c r="I117" s="1"/>
      <c r="J117" s="1"/>
      <c r="K117" s="1"/>
    </row>
    <row r="118" spans="2:11" x14ac:dyDescent="0.35">
      <c r="B118" s="27" t="s">
        <v>119</v>
      </c>
      <c r="C118" s="27"/>
      <c r="D118" s="27"/>
      <c r="E118" s="4"/>
      <c r="F118" s="7"/>
      <c r="G118" s="1"/>
      <c r="H118" s="1"/>
      <c r="I118" s="1"/>
      <c r="J118" s="1"/>
      <c r="K118" s="1"/>
    </row>
    <row r="119" spans="2:11" x14ac:dyDescent="0.35">
      <c r="B119" s="68" t="s">
        <v>120</v>
      </c>
      <c r="C119" s="27"/>
      <c r="D119" s="27"/>
      <c r="E119" s="4"/>
      <c r="F119" s="7"/>
      <c r="G119" s="1"/>
      <c r="H119" s="1"/>
      <c r="I119" s="1"/>
      <c r="J119" s="1"/>
      <c r="K119" s="1"/>
    </row>
    <row r="120" spans="2:11" x14ac:dyDescent="0.35">
      <c r="B120" s="3" t="s">
        <v>116</v>
      </c>
      <c r="C120" s="27"/>
      <c r="D120" s="27"/>
      <c r="E120" s="4"/>
      <c r="F120" s="7">
        <f>F90-(F116-F113)</f>
        <v>16599.499999999993</v>
      </c>
      <c r="G120" s="1"/>
      <c r="H120" s="1"/>
      <c r="I120" s="1"/>
      <c r="J120" s="1"/>
      <c r="K120" s="1"/>
    </row>
    <row r="121" spans="2:11" x14ac:dyDescent="0.35">
      <c r="B121" s="3" t="s">
        <v>117</v>
      </c>
      <c r="C121" s="27"/>
      <c r="D121" s="27"/>
      <c r="E121" s="4"/>
      <c r="F121" s="94">
        <f>(F116-F113)/D90</f>
        <v>3.9940952380952389E-2</v>
      </c>
      <c r="G121" s="1"/>
      <c r="H121" s="1"/>
      <c r="I121" s="1"/>
      <c r="J121" s="1"/>
      <c r="K121" s="1"/>
    </row>
    <row r="122" spans="2:11" x14ac:dyDescent="0.35">
      <c r="B122" s="3" t="s">
        <v>118</v>
      </c>
      <c r="C122" s="27"/>
      <c r="D122" s="27"/>
      <c r="E122" s="4"/>
      <c r="F122" s="50">
        <f>((F116-F113)/(E86*(D86/D90)+E87*(D87/D90)+E88*(D88/D90)))/D93</f>
        <v>0.37612556053811663</v>
      </c>
      <c r="G122" s="1"/>
      <c r="H122" s="1"/>
      <c r="I122" s="1"/>
      <c r="J122" s="1"/>
      <c r="K122" s="1"/>
    </row>
    <row r="123" spans="2:11" x14ac:dyDescent="0.35">
      <c r="B123" s="3"/>
      <c r="C123" s="27"/>
      <c r="D123" s="27"/>
      <c r="E123" s="4"/>
      <c r="F123" s="50"/>
      <c r="G123" s="1"/>
      <c r="H123" s="1"/>
      <c r="I123" s="1"/>
      <c r="J123" s="1"/>
      <c r="K123" s="1"/>
    </row>
    <row r="124" spans="2:11" x14ac:dyDescent="0.35">
      <c r="B124" s="68" t="s">
        <v>89</v>
      </c>
      <c r="C124" s="1"/>
      <c r="D124" s="1"/>
      <c r="E124" s="1"/>
      <c r="F124" s="1"/>
      <c r="G124" s="1"/>
      <c r="H124" s="1"/>
      <c r="I124" s="1"/>
      <c r="J124" s="1"/>
      <c r="K124" s="1"/>
    </row>
    <row r="125" spans="2:11" x14ac:dyDescent="0.35">
      <c r="B125" s="3" t="s">
        <v>42</v>
      </c>
      <c r="C125" s="3"/>
      <c r="D125" s="3"/>
      <c r="E125" s="4"/>
      <c r="F125" s="7">
        <f>F90-F116</f>
        <v>9832.0333333333256</v>
      </c>
      <c r="G125" s="1"/>
      <c r="H125" s="1"/>
      <c r="I125" s="1"/>
      <c r="J125" s="1"/>
      <c r="K125" s="1"/>
    </row>
    <row r="126" spans="2:11" x14ac:dyDescent="0.35">
      <c r="B126" s="3" t="s">
        <v>43</v>
      </c>
      <c r="C126" s="3"/>
      <c r="D126" s="3"/>
      <c r="E126" s="4"/>
      <c r="F126" s="49">
        <f>F116/D90</f>
        <v>4.6386158730158743E-2</v>
      </c>
      <c r="G126" s="1"/>
      <c r="H126" s="1"/>
      <c r="I126" s="1"/>
      <c r="J126" s="1"/>
      <c r="K126" s="1"/>
    </row>
    <row r="127" spans="2:11" x14ac:dyDescent="0.35">
      <c r="B127" s="3" t="s">
        <v>44</v>
      </c>
      <c r="C127" s="3"/>
      <c r="D127" s="3"/>
      <c r="E127" s="4"/>
      <c r="F127" s="50">
        <f>(F116/(E86*(D86/D90)+E87*(D87/D90)+E88*(D88/D90)))/D93</f>
        <v>0.43682032884902838</v>
      </c>
      <c r="G127" s="1"/>
      <c r="H127" s="1"/>
      <c r="I127" s="1"/>
      <c r="J127" s="1"/>
      <c r="K127" s="1"/>
    </row>
  </sheetData>
  <mergeCells count="23">
    <mergeCell ref="D17:E17"/>
    <mergeCell ref="D18:E18"/>
    <mergeCell ref="D12:F12"/>
    <mergeCell ref="D13:E13"/>
    <mergeCell ref="D14:E14"/>
    <mergeCell ref="D15:E15"/>
    <mergeCell ref="D16:E16"/>
    <mergeCell ref="B111:G111"/>
    <mergeCell ref="B20:K20"/>
    <mergeCell ref="B37:I37"/>
    <mergeCell ref="B59:I59"/>
    <mergeCell ref="E70:F70"/>
    <mergeCell ref="B83:G83"/>
    <mergeCell ref="B89:G89"/>
    <mergeCell ref="B91:G91"/>
    <mergeCell ref="B103:G103"/>
    <mergeCell ref="D11:E11"/>
    <mergeCell ref="D10:E10"/>
    <mergeCell ref="D5:E5"/>
    <mergeCell ref="D6:E6"/>
    <mergeCell ref="D7:E7"/>
    <mergeCell ref="D8:E8"/>
    <mergeCell ref="D9:E9"/>
  </mergeCells>
  <dataValidations count="4">
    <dataValidation type="decimal" operator="greaterThanOrEqual" allowBlank="1" showInputMessage="1" showErrorMessage="1" sqref="F15" xr:uid="{00000000-0002-0000-1B00-000000000000}">
      <formula1>0</formula1>
    </dataValidation>
    <dataValidation type="whole" allowBlank="1" showInputMessage="1" showErrorMessage="1" sqref="E25:E28" xr:uid="{00000000-0002-0000-1B00-000001000000}">
      <formula1>0</formula1>
      <formula2>1</formula2>
    </dataValidation>
    <dataValidation type="whole" operator="greaterThan" allowBlank="1" showInputMessage="1" showErrorMessage="1" sqref="C22:C28 D24:D28 E24 F53:I54 E50:E54 F5 E40:E41 F47:I47 E43:E48 D75:D79 C73:C79" xr:uid="{00000000-0002-0000-1B00-000002000000}">
      <formula1>0</formula1>
    </dataValidation>
    <dataValidation type="decimal" operator="greaterThan" allowBlank="1" showInputMessage="1" showErrorMessage="1" sqref="I7:I9 I5 F6:F7 F9:F11 F13:F14" xr:uid="{00000000-0002-0000-1B00-000003000000}">
      <formula1>0</formula1>
    </dataValidation>
  </dataValidations>
  <pageMargins left="0.75" right="0.75" top="1" bottom="1" header="0.5" footer="0.5"/>
  <pageSetup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election activeCell="G16" sqref="G16"/>
    </sheetView>
  </sheetViews>
  <sheetFormatPr defaultColWidth="11" defaultRowHeight="15.5" x14ac:dyDescent="0.3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25" zoomScaleNormal="125" workbookViewId="0"/>
  </sheetViews>
  <sheetFormatPr defaultColWidth="11" defaultRowHeight="15.5" x14ac:dyDescent="0.35"/>
  <sheetData/>
  <sheetProtection algorithmName="SHA-512" hashValue="i8pVOSe5Y0lTngOoIuzaz6iXJhPZESGT1VNBuIA9yank3n7oHku46Qhkc+y+eQ844t9Yxq9yN7ooWdlvTUUfXw==" saltValue="zeumWIIm7/QK1UO8GwY4Gg==" spinCount="100000" sheet="1" objects="1" scenarios="1"/>
  <phoneticPr fontId="5" type="noConversion"/>
  <pageMargins left="0.75" right="0.75" top="1" bottom="1" header="0.5" footer="0.5"/>
  <pageSetup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70"/>
  <sheetViews>
    <sheetView zoomScaleNormal="100" workbookViewId="0">
      <selection activeCell="D29" sqref="D29"/>
    </sheetView>
  </sheetViews>
  <sheetFormatPr defaultColWidth="10.83203125" defaultRowHeight="14.5" x14ac:dyDescent="0.35"/>
  <cols>
    <col min="1" max="1" width="26.08203125" style="125" customWidth="1"/>
    <col min="2" max="2" width="11.83203125" style="125" bestFit="1" customWidth="1"/>
    <col min="3" max="3" width="17.83203125" style="125" bestFit="1" customWidth="1"/>
    <col min="4" max="4" width="17" style="234" customWidth="1"/>
    <col min="5" max="5" width="19.25" style="125" customWidth="1"/>
    <col min="6" max="6" width="19.83203125" style="125" customWidth="1"/>
    <col min="7" max="7" width="12.58203125" style="125" customWidth="1"/>
    <col min="8" max="8" width="12.58203125" style="125" bestFit="1" customWidth="1"/>
    <col min="9" max="10" width="8.33203125" style="125" bestFit="1" customWidth="1"/>
    <col min="11" max="11" width="8.58203125" style="125" customWidth="1"/>
    <col min="12" max="12" width="16.5" style="125" bestFit="1" customWidth="1"/>
    <col min="13" max="13" width="12.33203125" style="125" customWidth="1"/>
    <col min="14" max="15" width="10.83203125" style="125"/>
    <col min="16" max="16" width="13.75" style="125" hidden="1" customWidth="1"/>
    <col min="17" max="21" width="10.83203125" style="125"/>
    <col min="22" max="22" width="11.58203125" style="125" bestFit="1" customWidth="1"/>
    <col min="23" max="16384" width="10.83203125" style="125"/>
  </cols>
  <sheetData>
    <row r="1" spans="1:12" ht="23.5" x14ac:dyDescent="0.55000000000000004">
      <c r="A1" s="317" t="s">
        <v>74</v>
      </c>
      <c r="B1" s="317"/>
      <c r="C1" s="317"/>
      <c r="D1" s="317"/>
      <c r="E1" s="317"/>
      <c r="F1" s="317"/>
      <c r="G1" s="317"/>
      <c r="H1" s="317"/>
      <c r="I1" s="317"/>
      <c r="J1" s="317"/>
      <c r="K1" s="181"/>
      <c r="L1" s="181"/>
    </row>
    <row r="2" spans="1:12" ht="15" customHeight="1" x14ac:dyDescent="0.35">
      <c r="A2" s="320" t="s">
        <v>145</v>
      </c>
      <c r="B2" s="320"/>
      <c r="C2" s="320"/>
      <c r="D2" s="320"/>
      <c r="E2" s="320"/>
      <c r="F2" s="320"/>
      <c r="G2" s="320"/>
      <c r="H2" s="320"/>
      <c r="I2" s="320"/>
      <c r="J2" s="320"/>
    </row>
    <row r="3" spans="1:12" ht="15" thickBot="1" x14ac:dyDescent="0.4">
      <c r="D3" s="183"/>
      <c r="E3" s="111"/>
    </row>
    <row r="4" spans="1:12" x14ac:dyDescent="0.35">
      <c r="C4" s="184" t="s">
        <v>51</v>
      </c>
      <c r="D4" s="185"/>
      <c r="E4" s="186" t="s">
        <v>50</v>
      </c>
      <c r="G4" s="184" t="s">
        <v>53</v>
      </c>
      <c r="H4" s="186" t="s">
        <v>54</v>
      </c>
    </row>
    <row r="5" spans="1:12" x14ac:dyDescent="0.35">
      <c r="C5" s="310" t="s">
        <v>73</v>
      </c>
      <c r="D5" s="311"/>
      <c r="E5" s="187">
        <v>2000000</v>
      </c>
      <c r="G5" s="188" t="s">
        <v>46</v>
      </c>
      <c r="H5" s="189">
        <v>0.01</v>
      </c>
    </row>
    <row r="6" spans="1:12" x14ac:dyDescent="0.35">
      <c r="C6" s="318" t="s">
        <v>143</v>
      </c>
      <c r="D6" s="319"/>
      <c r="E6" s="190">
        <v>10000</v>
      </c>
      <c r="G6" s="188" t="s">
        <v>47</v>
      </c>
      <c r="H6" s="191"/>
    </row>
    <row r="7" spans="1:12" x14ac:dyDescent="0.35">
      <c r="C7" s="310" t="s">
        <v>144</v>
      </c>
      <c r="D7" s="311"/>
      <c r="E7" s="192">
        <v>1150</v>
      </c>
      <c r="G7" s="193" t="s">
        <v>67</v>
      </c>
      <c r="H7" s="194">
        <v>0.13</v>
      </c>
    </row>
    <row r="8" spans="1:12" x14ac:dyDescent="0.35">
      <c r="C8" s="310" t="s">
        <v>135</v>
      </c>
      <c r="D8" s="311"/>
      <c r="E8" s="195"/>
      <c r="G8" s="193" t="s">
        <v>62</v>
      </c>
      <c r="H8" s="194">
        <v>0.11</v>
      </c>
    </row>
    <row r="9" spans="1:12" ht="15" thickBot="1" x14ac:dyDescent="0.4">
      <c r="C9" s="308" t="s">
        <v>57</v>
      </c>
      <c r="D9" s="309"/>
      <c r="E9" s="196">
        <v>0.75</v>
      </c>
      <c r="F9" s="197"/>
      <c r="G9" s="198" t="s">
        <v>63</v>
      </c>
      <c r="H9" s="199">
        <v>7.0000000000000007E-2</v>
      </c>
    </row>
    <row r="10" spans="1:12" x14ac:dyDescent="0.35">
      <c r="C10" s="308" t="s">
        <v>58</v>
      </c>
      <c r="D10" s="309"/>
      <c r="E10" s="196">
        <v>0.7</v>
      </c>
      <c r="F10" s="197"/>
      <c r="G10" s="182"/>
    </row>
    <row r="11" spans="1:12" x14ac:dyDescent="0.35">
      <c r="C11" s="308" t="s">
        <v>59</v>
      </c>
      <c r="D11" s="309"/>
      <c r="E11" s="200">
        <f>IF(E9*E10=0,"--",E9*E10)</f>
        <v>0.52499999999999991</v>
      </c>
      <c r="G11" s="201"/>
    </row>
    <row r="12" spans="1:12" x14ac:dyDescent="0.35">
      <c r="C12" s="310" t="s">
        <v>136</v>
      </c>
      <c r="D12" s="311"/>
      <c r="E12" s="312"/>
    </row>
    <row r="13" spans="1:12" x14ac:dyDescent="0.35">
      <c r="C13" s="308" t="s">
        <v>61</v>
      </c>
      <c r="D13" s="309"/>
      <c r="E13" s="196">
        <v>0.8</v>
      </c>
      <c r="F13" s="197"/>
    </row>
    <row r="14" spans="1:12" x14ac:dyDescent="0.35">
      <c r="C14" s="308" t="s">
        <v>62</v>
      </c>
      <c r="D14" s="309"/>
      <c r="E14" s="196">
        <v>0.15</v>
      </c>
      <c r="F14" s="197"/>
    </row>
    <row r="15" spans="1:12" x14ac:dyDescent="0.35">
      <c r="C15" s="308" t="s">
        <v>137</v>
      </c>
      <c r="D15" s="309"/>
      <c r="E15" s="202">
        <v>0.05</v>
      </c>
      <c r="F15" s="197"/>
    </row>
    <row r="16" spans="1:12" x14ac:dyDescent="0.35">
      <c r="C16" s="325" t="s">
        <v>161</v>
      </c>
      <c r="D16" s="309"/>
      <c r="E16" s="203">
        <f>SUM(E13:E15)</f>
        <v>1</v>
      </c>
      <c r="F16" s="197" t="str">
        <f>IF(E16&lt;&gt;1,"ERROR DOESN'T SUM TO 100%","")</f>
        <v/>
      </c>
    </row>
    <row r="17" spans="1:16" x14ac:dyDescent="0.35">
      <c r="C17" s="313" t="s">
        <v>100</v>
      </c>
      <c r="D17" s="314"/>
      <c r="E17" s="204"/>
      <c r="P17" s="205" t="s">
        <v>158</v>
      </c>
    </row>
    <row r="18" spans="1:16" x14ac:dyDescent="0.35">
      <c r="C18" s="321" t="s">
        <v>57</v>
      </c>
      <c r="D18" s="322"/>
      <c r="E18" s="206">
        <f>ROUND(E5/E6,0)</f>
        <v>200</v>
      </c>
    </row>
    <row r="19" spans="1:16" ht="16" customHeight="1" thickBot="1" x14ac:dyDescent="0.4">
      <c r="A19" s="207"/>
      <c r="B19" s="207"/>
      <c r="C19" s="323" t="s">
        <v>99</v>
      </c>
      <c r="D19" s="324"/>
      <c r="E19" s="208">
        <f>ROUND(E5*E9/E7,0)</f>
        <v>1304</v>
      </c>
      <c r="P19" s="205">
        <v>2024</v>
      </c>
    </row>
    <row r="20" spans="1:16" x14ac:dyDescent="0.35">
      <c r="A20" s="207"/>
      <c r="B20" s="207"/>
      <c r="C20" s="207"/>
      <c r="D20" s="149"/>
      <c r="E20" s="207"/>
      <c r="P20" s="205">
        <v>2025</v>
      </c>
    </row>
    <row r="21" spans="1:16" ht="18.5" x14ac:dyDescent="0.45">
      <c r="A21" s="307" t="s">
        <v>12</v>
      </c>
      <c r="B21" s="307"/>
      <c r="C21" s="307"/>
      <c r="D21" s="307"/>
      <c r="E21" s="307"/>
      <c r="F21" s="307"/>
      <c r="G21" s="307"/>
      <c r="H21" s="307"/>
      <c r="I21" s="307"/>
      <c r="J21" s="307"/>
      <c r="K21" s="209"/>
      <c r="L21" s="209"/>
      <c r="P21" s="205">
        <v>2026</v>
      </c>
    </row>
    <row r="22" spans="1:16" s="212" customFormat="1" ht="29.5" thickBot="1" x14ac:dyDescent="0.4">
      <c r="A22" s="110" t="s">
        <v>0</v>
      </c>
      <c r="B22" s="210" t="s">
        <v>1</v>
      </c>
      <c r="C22" s="134" t="s">
        <v>156</v>
      </c>
      <c r="D22" s="134" t="s">
        <v>157</v>
      </c>
      <c r="E22" s="211" t="s">
        <v>72</v>
      </c>
      <c r="F22" s="134" t="s">
        <v>152</v>
      </c>
      <c r="G22" s="211" t="s">
        <v>3</v>
      </c>
      <c r="H22" s="211" t="s">
        <v>4</v>
      </c>
      <c r="I22" s="211" t="s">
        <v>5</v>
      </c>
      <c r="J22" s="211" t="s">
        <v>6</v>
      </c>
      <c r="K22" s="211" t="s">
        <v>7</v>
      </c>
      <c r="P22" s="205">
        <v>2027</v>
      </c>
    </row>
    <row r="23" spans="1:16" x14ac:dyDescent="0.35">
      <c r="A23" s="213" t="s">
        <v>8</v>
      </c>
      <c r="B23" s="214">
        <v>9</v>
      </c>
      <c r="C23" s="215">
        <v>4</v>
      </c>
      <c r="D23" s="216"/>
      <c r="E23" s="217">
        <f>ROUND((1/C23)*(E5/E6),0)</f>
        <v>50</v>
      </c>
      <c r="F23" s="218">
        <f>E23*B23</f>
        <v>450</v>
      </c>
      <c r="G23" s="218">
        <f>B23*E23</f>
        <v>450</v>
      </c>
      <c r="H23" s="218">
        <f>ROUND(B23*E23*(1.03),0)</f>
        <v>464</v>
      </c>
      <c r="I23" s="218">
        <f>ROUND(B23*E23*(1.03^2),0)</f>
        <v>477</v>
      </c>
      <c r="J23" s="218">
        <f>ROUND(B23*E23*1.03^3,0)</f>
        <v>492</v>
      </c>
      <c r="K23" s="218">
        <f>ROUND(B23*E23*1.03^4,0)</f>
        <v>506</v>
      </c>
      <c r="P23" s="205">
        <v>2028</v>
      </c>
    </row>
    <row r="24" spans="1:16" x14ac:dyDescent="0.35">
      <c r="A24" s="219" t="s">
        <v>9</v>
      </c>
      <c r="B24" s="220">
        <v>8</v>
      </c>
      <c r="C24" s="221">
        <v>6</v>
      </c>
      <c r="D24" s="222"/>
      <c r="E24" s="223">
        <f>ROUND((1/C24)*(E5*E9/E7),0)</f>
        <v>217</v>
      </c>
      <c r="F24" s="224">
        <f>E24*B24</f>
        <v>1736</v>
      </c>
      <c r="G24" s="224">
        <f>ROUND(B24*E24,0)</f>
        <v>1736</v>
      </c>
      <c r="H24" s="224">
        <f>ROUND(B24*E24*1.03,0)</f>
        <v>1788</v>
      </c>
      <c r="I24" s="224">
        <f>ROUND(B24*E24*1.03^2,0)</f>
        <v>1842</v>
      </c>
      <c r="J24" s="224">
        <f>ROUND(B24*E24*1.03^3,0)</f>
        <v>1897</v>
      </c>
      <c r="K24" s="224">
        <f>ROUND(B24*E24*1.03^4,0)</f>
        <v>1954</v>
      </c>
      <c r="P24" s="282" t="s">
        <v>165</v>
      </c>
    </row>
    <row r="25" spans="1:16" x14ac:dyDescent="0.35">
      <c r="A25" s="225" t="s">
        <v>159</v>
      </c>
      <c r="B25" s="220">
        <v>250</v>
      </c>
      <c r="C25" s="221">
        <v>3</v>
      </c>
      <c r="D25" s="221"/>
      <c r="E25" s="226"/>
      <c r="F25" s="227"/>
      <c r="G25" s="224">
        <f>IF(OR(AND(C25=1,D25&lt;&gt;"Not in the next 5 years"),D25="Year 1 (this year)"),B25,0)</f>
        <v>0</v>
      </c>
      <c r="H25" s="224">
        <f>IF(OR(AND(C25=1,D25&lt;&gt;"Not in the next 5 years"),D25="Year 2"),B25,0)</f>
        <v>0</v>
      </c>
      <c r="I25" s="224">
        <f>IF(OR(AND(C25=1,D25&lt;&gt;"Not in the next 5 years"),D25="Year 3",AND(D25="Year 1 (this year)",C25=2)),B25,0)</f>
        <v>0</v>
      </c>
      <c r="J25" s="224">
        <f>IF(OR(AND(C25=1,D25&lt;&gt;"Not in the next 5 years"),D25="Year 4",AND(D25="Year 1 (this year)",C25=3),AND(D25="Year 2",C25=2)),B25,0)</f>
        <v>0</v>
      </c>
      <c r="K25" s="224">
        <f>IF(OR(AND(C25=1,D25&lt;&gt;"Not in the next 5 years"),D25="Year 5",AND(D25="Year 1 (this year)",C25=4),AND(D25="Year 2",C25=3),AND(D25="Year 1 (this year)",C25=2),AND(D25="Year 3",C25=2)),B25,0)</f>
        <v>0</v>
      </c>
    </row>
    <row r="26" spans="1:16" ht="15" customHeight="1" x14ac:dyDescent="0.35">
      <c r="A26" s="219" t="s">
        <v>11</v>
      </c>
      <c r="B26" s="220">
        <v>25000</v>
      </c>
      <c r="C26" s="215">
        <v>20</v>
      </c>
      <c r="D26" s="216"/>
      <c r="E26" s="219">
        <f>IF('Questionnaire '!C6='Questionnaire '!C8,1,0)</f>
        <v>0</v>
      </c>
      <c r="F26" s="228"/>
      <c r="G26" s="224">
        <f>IF('Questionnaire '!C10='Questionnaire '!C6,Budget!B26,0)</f>
        <v>0</v>
      </c>
      <c r="H26" s="224">
        <f>IF('Questionnaire '!C10='Questionnaire '!C6+1,ROUND(Budget!B26+Budget!B26*0.03,0),0)</f>
        <v>0</v>
      </c>
      <c r="I26" s="224">
        <f>IF('Questionnaire '!C10='Questionnaire '!C6+2,ROUND(Budget!B26*(1.03^2),0),0)</f>
        <v>0</v>
      </c>
      <c r="J26" s="224">
        <f>IF('Questionnaire '!C10='Questionnaire '!C6+3,ROUND(Budget!B26*(1.03^3),0),0)</f>
        <v>0</v>
      </c>
      <c r="K26" s="224">
        <f>IF('Questionnaire '!C10='Questionnaire '!C6+4,ROUND(Budget!B26*(1.03^4),0),0)</f>
        <v>0</v>
      </c>
    </row>
    <row r="27" spans="1:16" ht="15" customHeight="1" x14ac:dyDescent="0.35">
      <c r="A27" s="219" t="s">
        <v>69</v>
      </c>
      <c r="B27" s="220">
        <v>35000</v>
      </c>
      <c r="C27" s="221">
        <v>20</v>
      </c>
      <c r="D27" s="229"/>
      <c r="E27" s="219">
        <f>IF('Questionnaire '!C6='Questionnaire '!C16,1,0)</f>
        <v>0</v>
      </c>
      <c r="F27" s="228"/>
      <c r="G27" s="224">
        <f>IF('Questionnaire '!C6='Questionnaire '!C18,Budget!B27,0)</f>
        <v>0</v>
      </c>
      <c r="H27" s="224">
        <f>IF('Questionnaire '!C18='Questionnaire '!C6+1,ROUND(Budget!B27+Budget!B27*0.03,0),0)</f>
        <v>0</v>
      </c>
      <c r="I27" s="224">
        <f>IF('Questionnaire '!C18='Questionnaire '!C6+2,ROUND(Budget!B27*(1.03^2),0),0)</f>
        <v>0</v>
      </c>
      <c r="J27" s="224">
        <f>IF('Questionnaire '!C18='Questionnaire '!C6+3,ROUND(Budget!B27*(1.03^3),0),0)</f>
        <v>0</v>
      </c>
      <c r="K27" s="224">
        <f>IF('Questionnaire '!C18='Questionnaire '!C6+4,ROUND(Budget!B27*(1.03^4),0),0)</f>
        <v>0</v>
      </c>
    </row>
    <row r="28" spans="1:16" ht="15" customHeight="1" x14ac:dyDescent="0.35">
      <c r="A28" s="219" t="s">
        <v>70</v>
      </c>
      <c r="B28" s="220">
        <v>10000</v>
      </c>
      <c r="C28" s="221">
        <v>10</v>
      </c>
      <c r="D28" s="229"/>
      <c r="E28" s="219">
        <f>IF('Questionnaire '!C6='Questionnaire '!C12,1,0)</f>
        <v>0</v>
      </c>
      <c r="F28" s="228"/>
      <c r="G28" s="224">
        <f>IF('Questionnaire '!C6='Questionnaire '!C14,Budget!B28,0)</f>
        <v>0</v>
      </c>
      <c r="H28" s="224">
        <f>IF('Questionnaire '!C14='Questionnaire '!C6+1,ROUND(Budget!B28+Budget!B28*0.03,0),0)</f>
        <v>0</v>
      </c>
      <c r="I28" s="224">
        <f>IF('Questionnaire '!C14='Questionnaire '!C6+2,ROUND(Budget!B28*(1.03^2),0),0)</f>
        <v>0</v>
      </c>
      <c r="J28" s="224">
        <f>IF('Questionnaire '!C14='Questionnaire '!C6+3,ROUND(Budget!B28*(1.03^3),0),0)</f>
        <v>0</v>
      </c>
      <c r="K28" s="224">
        <f>IF('Questionnaire '!C14='Questionnaire '!C6+4,ROUND(Budget!B28*(1.03^4),0),0)</f>
        <v>0</v>
      </c>
    </row>
    <row r="29" spans="1:16" ht="29.5" thickBot="1" x14ac:dyDescent="0.4">
      <c r="A29" s="230" t="s">
        <v>155</v>
      </c>
      <c r="B29" s="231">
        <v>1000</v>
      </c>
      <c r="C29" s="232">
        <v>10</v>
      </c>
      <c r="D29" s="232"/>
      <c r="E29" s="233"/>
      <c r="F29" s="218"/>
      <c r="G29" s="224">
        <f>IF(OR(AND(C29=1,D29&lt;&gt;"Not in the next 5 years"),D29="Year 1 (this year)"),B29,0)</f>
        <v>0</v>
      </c>
      <c r="H29" s="224">
        <f>IF(OR(AND(C29=1,D29&lt;&gt;"Not in the next 5 years"),D29="Year 2"),B29,0)</f>
        <v>0</v>
      </c>
      <c r="I29" s="224">
        <f>IF(OR(AND(C29=1,D29&lt;&gt;"Not in the next 5 years"),D29="Year 3",AND(D29="Year 1 (this year)",C29=2)),B29,0)</f>
        <v>0</v>
      </c>
      <c r="J29" s="224">
        <f>IF(OR(AND(C29=1,D29&lt;&gt;"Not in the next 5 years"),D29="Year 4",AND(D29="Year 1 (this year)",C29=3),AND(D29="Year 2",C29=2)),B29,0)</f>
        <v>0</v>
      </c>
      <c r="K29" s="224">
        <f>IF(OR(AND(C29=1,D29&lt;&gt;"Not in the next 5 years"),D29="Year 5",AND(D29="Year 1 (this year)",C29=4),AND(D29="Year 2",C29=3),AND(D29="Year 1 (this year)",C29=2),AND(D29="Year 3",C29=2)),B29,0)</f>
        <v>0</v>
      </c>
    </row>
    <row r="30" spans="1:16" x14ac:dyDescent="0.35">
      <c r="A30" s="212" t="s">
        <v>45</v>
      </c>
      <c r="B30" s="234"/>
      <c r="D30" s="125"/>
      <c r="E30" s="147"/>
      <c r="F30" s="147"/>
      <c r="G30" s="147">
        <f>SUM(G23:G29)</f>
        <v>2186</v>
      </c>
      <c r="H30" s="147">
        <f>SUM(H23:H29)</f>
        <v>2252</v>
      </c>
      <c r="I30" s="147">
        <f>SUM(I23:I29)</f>
        <v>2319</v>
      </c>
      <c r="J30" s="147">
        <f>SUM(J23:J29)</f>
        <v>2389</v>
      </c>
      <c r="K30" s="147">
        <f>SUM(K23:K29)</f>
        <v>2460</v>
      </c>
    </row>
    <row r="32" spans="1:16" ht="18.5" x14ac:dyDescent="0.45">
      <c r="A32" s="307" t="s">
        <v>14</v>
      </c>
      <c r="B32" s="307"/>
      <c r="C32" s="307"/>
      <c r="D32" s="307"/>
      <c r="E32" s="307"/>
      <c r="F32" s="307"/>
      <c r="G32" s="307"/>
      <c r="H32" s="307"/>
    </row>
    <row r="33" spans="1:8" ht="29.5" thickBot="1" x14ac:dyDescent="0.4">
      <c r="A33" s="211" t="s">
        <v>13</v>
      </c>
      <c r="B33" s="110" t="s">
        <v>104</v>
      </c>
      <c r="C33" s="134" t="s">
        <v>107</v>
      </c>
      <c r="D33" s="210" t="s">
        <v>3</v>
      </c>
      <c r="E33" s="211" t="s">
        <v>4</v>
      </c>
      <c r="F33" s="211" t="s">
        <v>5</v>
      </c>
      <c r="G33" s="211" t="s">
        <v>6</v>
      </c>
      <c r="H33" s="211" t="s">
        <v>7</v>
      </c>
    </row>
    <row r="34" spans="1:8" x14ac:dyDescent="0.35">
      <c r="A34" s="235" t="s">
        <v>14</v>
      </c>
      <c r="D34" s="236"/>
      <c r="E34" s="237"/>
      <c r="F34" s="237"/>
      <c r="G34" s="237"/>
      <c r="H34" s="238"/>
    </row>
    <row r="35" spans="1:8" x14ac:dyDescent="0.35">
      <c r="A35" s="213" t="s">
        <v>15</v>
      </c>
      <c r="B35" s="223">
        <f>$E$5</f>
        <v>2000000</v>
      </c>
      <c r="C35" s="141">
        <f>H5</f>
        <v>0.01</v>
      </c>
      <c r="D35" s="239">
        <f>B35*C35</f>
        <v>20000</v>
      </c>
      <c r="E35" s="239">
        <f>B35*C35</f>
        <v>20000</v>
      </c>
      <c r="F35" s="239">
        <f>B35*C35</f>
        <v>20000</v>
      </c>
      <c r="G35" s="239">
        <f>B35*C35</f>
        <v>20000</v>
      </c>
      <c r="H35" s="239">
        <f>B35*C35</f>
        <v>20000</v>
      </c>
    </row>
    <row r="36" spans="1:8" ht="29" x14ac:dyDescent="0.35">
      <c r="A36" s="240" t="s">
        <v>138</v>
      </c>
      <c r="B36" s="241">
        <f>E18+E19</f>
        <v>1504</v>
      </c>
      <c r="C36" s="220">
        <v>2</v>
      </c>
      <c r="D36" s="239">
        <f>B36*C36</f>
        <v>3008</v>
      </c>
      <c r="E36" s="140">
        <f t="shared" ref="E36:H43" si="0">ROUND(D36+D36*0.03,0)</f>
        <v>3098</v>
      </c>
      <c r="F36" s="140">
        <f t="shared" si="0"/>
        <v>3191</v>
      </c>
      <c r="G36" s="140">
        <f t="shared" si="0"/>
        <v>3287</v>
      </c>
      <c r="H36" s="140">
        <f t="shared" si="0"/>
        <v>3386</v>
      </c>
    </row>
    <row r="37" spans="1:8" x14ac:dyDescent="0.35">
      <c r="A37" s="219" t="s">
        <v>16</v>
      </c>
      <c r="B37" s="242">
        <v>100</v>
      </c>
      <c r="C37" s="220">
        <v>3.5</v>
      </c>
      <c r="D37" s="239">
        <f>B37*C37</f>
        <v>350</v>
      </c>
      <c r="E37" s="140">
        <f t="shared" si="0"/>
        <v>361</v>
      </c>
      <c r="F37" s="140">
        <f t="shared" si="0"/>
        <v>372</v>
      </c>
      <c r="G37" s="140">
        <f t="shared" si="0"/>
        <v>383</v>
      </c>
      <c r="H37" s="140">
        <f t="shared" si="0"/>
        <v>394</v>
      </c>
    </row>
    <row r="38" spans="1:8" x14ac:dyDescent="0.35">
      <c r="A38" s="219" t="s">
        <v>17</v>
      </c>
      <c r="B38" s="242">
        <v>100</v>
      </c>
      <c r="C38" s="220">
        <v>3.5</v>
      </c>
      <c r="D38" s="239">
        <f>B38*C38</f>
        <v>350</v>
      </c>
      <c r="E38" s="140">
        <f t="shared" si="0"/>
        <v>361</v>
      </c>
      <c r="F38" s="140">
        <f t="shared" si="0"/>
        <v>372</v>
      </c>
      <c r="G38" s="140">
        <f t="shared" si="0"/>
        <v>383</v>
      </c>
      <c r="H38" s="140">
        <f t="shared" si="0"/>
        <v>394</v>
      </c>
    </row>
    <row r="39" spans="1:8" x14ac:dyDescent="0.35">
      <c r="A39" s="219" t="s">
        <v>18</v>
      </c>
      <c r="B39" s="243">
        <v>1</v>
      </c>
      <c r="C39" s="220">
        <v>100</v>
      </c>
      <c r="D39" s="239">
        <f>B39*C39</f>
        <v>100</v>
      </c>
      <c r="E39" s="140">
        <f t="shared" si="0"/>
        <v>103</v>
      </c>
      <c r="F39" s="140">
        <f t="shared" si="0"/>
        <v>106</v>
      </c>
      <c r="G39" s="140">
        <f t="shared" si="0"/>
        <v>109</v>
      </c>
      <c r="H39" s="140">
        <f t="shared" si="0"/>
        <v>112</v>
      </c>
    </row>
    <row r="40" spans="1:8" ht="16.5" x14ac:dyDescent="0.35">
      <c r="A40" s="219" t="s">
        <v>129</v>
      </c>
      <c r="B40" s="244"/>
      <c r="C40" s="220">
        <f>0.05*(B26+B27+B28)</f>
        <v>3500</v>
      </c>
      <c r="D40" s="239">
        <f>C40</f>
        <v>3500</v>
      </c>
      <c r="E40" s="140">
        <f t="shared" si="0"/>
        <v>3605</v>
      </c>
      <c r="F40" s="140">
        <f t="shared" si="0"/>
        <v>3713</v>
      </c>
      <c r="G40" s="140">
        <f t="shared" si="0"/>
        <v>3824</v>
      </c>
      <c r="H40" s="140">
        <f t="shared" si="0"/>
        <v>3939</v>
      </c>
    </row>
    <row r="41" spans="1:8" s="246" customFormat="1" ht="32.15" customHeight="1" x14ac:dyDescent="0.35">
      <c r="A41" s="219" t="s">
        <v>78</v>
      </c>
      <c r="B41" s="245">
        <f>ROUND((1-(1/C23))*E18+(1-(1/C24))*E19,0)</f>
        <v>1237</v>
      </c>
      <c r="C41" s="220">
        <v>1.25</v>
      </c>
      <c r="D41" s="239">
        <f>B41*C41</f>
        <v>1546.25</v>
      </c>
      <c r="E41" s="140">
        <f t="shared" si="0"/>
        <v>1593</v>
      </c>
      <c r="F41" s="140">
        <f t="shared" si="0"/>
        <v>1641</v>
      </c>
      <c r="G41" s="140">
        <f t="shared" si="0"/>
        <v>1690</v>
      </c>
      <c r="H41" s="140">
        <f t="shared" si="0"/>
        <v>1741</v>
      </c>
    </row>
    <row r="42" spans="1:8" x14ac:dyDescent="0.35">
      <c r="A42" s="225" t="s">
        <v>154</v>
      </c>
      <c r="B42" s="245"/>
      <c r="C42" s="220">
        <v>8000</v>
      </c>
      <c r="D42" s="239">
        <f>C42</f>
        <v>8000</v>
      </c>
      <c r="E42" s="239">
        <f t="shared" si="0"/>
        <v>8240</v>
      </c>
      <c r="F42" s="239">
        <f t="shared" si="0"/>
        <v>8487</v>
      </c>
      <c r="G42" s="239">
        <f t="shared" si="0"/>
        <v>8742</v>
      </c>
      <c r="H42" s="239">
        <f t="shared" si="0"/>
        <v>9004</v>
      </c>
    </row>
    <row r="43" spans="1:8" x14ac:dyDescent="0.35">
      <c r="A43" s="219" t="s">
        <v>66</v>
      </c>
      <c r="B43" s="245"/>
      <c r="C43" s="220">
        <v>1000</v>
      </c>
      <c r="D43" s="239">
        <f>C43</f>
        <v>1000</v>
      </c>
      <c r="E43" s="140">
        <f t="shared" si="0"/>
        <v>1030</v>
      </c>
      <c r="F43" s="140">
        <f t="shared" si="0"/>
        <v>1061</v>
      </c>
      <c r="G43" s="140">
        <f t="shared" si="0"/>
        <v>1093</v>
      </c>
      <c r="H43" s="140">
        <f t="shared" si="0"/>
        <v>1126</v>
      </c>
    </row>
    <row r="44" spans="1:8" x14ac:dyDescent="0.35">
      <c r="A44" s="247" t="s">
        <v>68</v>
      </c>
      <c r="B44" s="248"/>
      <c r="C44" s="248"/>
      <c r="D44" s="249"/>
      <c r="E44" s="249"/>
      <c r="F44" s="249"/>
      <c r="G44" s="249"/>
      <c r="H44" s="250"/>
    </row>
    <row r="45" spans="1:8" x14ac:dyDescent="0.35">
      <c r="A45" s="219" t="s">
        <v>48</v>
      </c>
      <c r="B45" s="243">
        <v>1</v>
      </c>
      <c r="C45" s="243">
        <v>750</v>
      </c>
      <c r="D45" s="251">
        <v>750</v>
      </c>
      <c r="E45" s="140">
        <f>ROUND(D45+D45*0.03,0)</f>
        <v>773</v>
      </c>
      <c r="F45" s="140">
        <f>ROUND(E45+E45*0.03,0)</f>
        <v>796</v>
      </c>
      <c r="G45" s="140">
        <f>ROUND(F45+F45*0.03,0)</f>
        <v>820</v>
      </c>
      <c r="H45" s="140">
        <f>ROUND(G45+G45*0.03,0)</f>
        <v>845</v>
      </c>
    </row>
    <row r="46" spans="1:8" x14ac:dyDescent="0.35">
      <c r="A46" s="219" t="s">
        <v>49</v>
      </c>
      <c r="B46" s="243">
        <v>1</v>
      </c>
      <c r="C46" s="243">
        <v>250</v>
      </c>
      <c r="D46" s="251">
        <v>250</v>
      </c>
      <c r="E46" s="140">
        <v>250</v>
      </c>
      <c r="F46" s="140">
        <v>250</v>
      </c>
      <c r="G46" s="140">
        <v>250</v>
      </c>
      <c r="H46" s="140">
        <v>250</v>
      </c>
    </row>
    <row r="47" spans="1:8" x14ac:dyDescent="0.35">
      <c r="A47" s="219" t="s">
        <v>20</v>
      </c>
      <c r="B47" s="243">
        <v>1</v>
      </c>
      <c r="C47" s="243">
        <v>500</v>
      </c>
      <c r="D47" s="251">
        <v>500</v>
      </c>
      <c r="E47" s="140">
        <f>ROUND(D47+D47*0.03,0)</f>
        <v>515</v>
      </c>
      <c r="F47" s="140">
        <f>ROUND(E47+E47*0.03,0)</f>
        <v>530</v>
      </c>
      <c r="G47" s="140">
        <f>ROUND(F47+F47*0.03,0)</f>
        <v>546</v>
      </c>
      <c r="H47" s="140">
        <f>ROUND(G47+G47*0.03,0)</f>
        <v>562</v>
      </c>
    </row>
    <row r="48" spans="1:8" x14ac:dyDescent="0.35">
      <c r="A48" s="252" t="s">
        <v>101</v>
      </c>
      <c r="B48" s="253">
        <v>1</v>
      </c>
      <c r="C48" s="253">
        <v>54</v>
      </c>
      <c r="D48" s="254">
        <v>27</v>
      </c>
      <c r="E48" s="255">
        <v>27</v>
      </c>
      <c r="F48" s="255">
        <v>27</v>
      </c>
      <c r="G48" s="255">
        <v>27</v>
      </c>
      <c r="H48" s="255">
        <v>27</v>
      </c>
    </row>
    <row r="49" spans="1:10" ht="15" thickBot="1" x14ac:dyDescent="0.4">
      <c r="A49" s="233" t="s">
        <v>21</v>
      </c>
      <c r="B49" s="256">
        <v>1</v>
      </c>
      <c r="C49" s="256">
        <v>100</v>
      </c>
      <c r="D49" s="257">
        <v>100</v>
      </c>
      <c r="E49" s="258">
        <v>100</v>
      </c>
      <c r="F49" s="258">
        <v>100</v>
      </c>
      <c r="G49" s="258">
        <v>100</v>
      </c>
      <c r="H49" s="258">
        <v>100</v>
      </c>
    </row>
    <row r="50" spans="1:10" x14ac:dyDescent="0.35">
      <c r="A50" s="212" t="s">
        <v>22</v>
      </c>
      <c r="B50" s="212"/>
      <c r="C50" s="212"/>
      <c r="D50" s="172">
        <f>SUM(D35:D49)</f>
        <v>39481.25</v>
      </c>
      <c r="E50" s="172">
        <f>SUM(E35:E49)</f>
        <v>40056</v>
      </c>
      <c r="F50" s="172">
        <f>SUM(F35:F49)</f>
        <v>40646</v>
      </c>
      <c r="G50" s="172">
        <f>SUM(G35:G49)</f>
        <v>41254</v>
      </c>
      <c r="H50" s="172">
        <f>SUM(H35:H49)</f>
        <v>41880</v>
      </c>
      <c r="I50" s="246"/>
      <c r="J50" s="246"/>
    </row>
    <row r="51" spans="1:10" x14ac:dyDescent="0.35">
      <c r="A51" s="212"/>
      <c r="B51" s="212"/>
      <c r="C51" s="212"/>
      <c r="D51" s="172"/>
      <c r="E51" s="172"/>
      <c r="F51" s="172"/>
      <c r="G51" s="172"/>
      <c r="H51" s="172"/>
    </row>
    <row r="52" spans="1:10" x14ac:dyDescent="0.35">
      <c r="A52" s="212"/>
      <c r="B52" s="212"/>
      <c r="C52" s="212"/>
      <c r="D52" s="172"/>
      <c r="E52" s="172"/>
      <c r="F52" s="172"/>
      <c r="G52" s="172"/>
      <c r="H52" s="172"/>
    </row>
    <row r="53" spans="1:10" x14ac:dyDescent="0.35">
      <c r="D53" s="259"/>
      <c r="E53" s="259"/>
      <c r="F53" s="259"/>
      <c r="G53" s="259"/>
      <c r="H53" s="259"/>
    </row>
    <row r="54" spans="1:10" x14ac:dyDescent="0.35">
      <c r="D54" s="259"/>
      <c r="E54" s="259"/>
      <c r="F54" s="259"/>
      <c r="G54" s="259"/>
      <c r="H54" s="259"/>
    </row>
    <row r="55" spans="1:10" ht="18.5" x14ac:dyDescent="0.45">
      <c r="A55" s="307" t="s">
        <v>76</v>
      </c>
      <c r="B55" s="307"/>
      <c r="C55" s="307"/>
      <c r="D55" s="307"/>
      <c r="E55" s="307"/>
      <c r="F55" s="307"/>
      <c r="G55" s="133"/>
      <c r="H55" s="133"/>
    </row>
    <row r="56" spans="1:10" ht="15" thickBot="1" x14ac:dyDescent="0.4">
      <c r="A56" s="111"/>
      <c r="B56" s="210" t="s">
        <v>3</v>
      </c>
      <c r="C56" s="211" t="s">
        <v>4</v>
      </c>
      <c r="D56" s="211" t="s">
        <v>5</v>
      </c>
      <c r="E56" s="211" t="s">
        <v>6</v>
      </c>
      <c r="F56" s="211" t="s">
        <v>7</v>
      </c>
    </row>
    <row r="57" spans="1:10" x14ac:dyDescent="0.35">
      <c r="A57" s="213" t="s">
        <v>23</v>
      </c>
      <c r="B57" s="260">
        <v>0</v>
      </c>
      <c r="C57" s="261">
        <f>B64</f>
        <v>90718.749999999985</v>
      </c>
      <c r="D57" s="261">
        <f>C64</f>
        <v>178676.74999999997</v>
      </c>
      <c r="E57" s="261">
        <f>D64</f>
        <v>265978.74999999994</v>
      </c>
      <c r="F57" s="261">
        <f>E64</f>
        <v>352605.74999999994</v>
      </c>
    </row>
    <row r="58" spans="1:10" x14ac:dyDescent="0.35">
      <c r="A58" s="219" t="s">
        <v>24</v>
      </c>
      <c r="B58" s="262">
        <f>E86</f>
        <v>130199.99999999999</v>
      </c>
      <c r="C58" s="262">
        <f>E86</f>
        <v>130199.99999999999</v>
      </c>
      <c r="D58" s="262">
        <f>E86</f>
        <v>130199.99999999999</v>
      </c>
      <c r="E58" s="262">
        <f>E86</f>
        <v>130199.99999999999</v>
      </c>
      <c r="F58" s="262">
        <f>E86</f>
        <v>130199.99999999999</v>
      </c>
    </row>
    <row r="59" spans="1:10" x14ac:dyDescent="0.35">
      <c r="A59" s="219" t="s">
        <v>25</v>
      </c>
      <c r="B59" s="262"/>
      <c r="C59" s="262"/>
      <c r="D59" s="262"/>
      <c r="E59" s="262"/>
      <c r="F59" s="262"/>
    </row>
    <row r="60" spans="1:10" x14ac:dyDescent="0.35">
      <c r="A60" s="219" t="s">
        <v>64</v>
      </c>
      <c r="B60" s="262">
        <f>D50</f>
        <v>39481.25</v>
      </c>
      <c r="C60" s="262">
        <f>E50</f>
        <v>40056</v>
      </c>
      <c r="D60" s="262">
        <f>F50</f>
        <v>40646</v>
      </c>
      <c r="E60" s="262">
        <f>G50</f>
        <v>41254</v>
      </c>
      <c r="F60" s="262">
        <f>H50</f>
        <v>41880</v>
      </c>
    </row>
    <row r="61" spans="1:10" x14ac:dyDescent="0.35">
      <c r="A61" s="219" t="s">
        <v>65</v>
      </c>
      <c r="B61" s="262">
        <f>F30</f>
        <v>0</v>
      </c>
      <c r="C61" s="262">
        <f>G30</f>
        <v>2186</v>
      </c>
      <c r="D61" s="262">
        <f>H30</f>
        <v>2252</v>
      </c>
      <c r="E61" s="262">
        <f>I30</f>
        <v>2319</v>
      </c>
      <c r="F61" s="262">
        <f>J30</f>
        <v>2389</v>
      </c>
    </row>
    <row r="62" spans="1:10" x14ac:dyDescent="0.35">
      <c r="A62" s="219" t="s">
        <v>28</v>
      </c>
      <c r="B62" s="262">
        <f>B60+B61</f>
        <v>39481.25</v>
      </c>
      <c r="C62" s="262">
        <f>C60+C61</f>
        <v>42242</v>
      </c>
      <c r="D62" s="262">
        <f>D60+D61</f>
        <v>42898</v>
      </c>
      <c r="E62" s="262">
        <f>E60+E61</f>
        <v>43573</v>
      </c>
      <c r="F62" s="262">
        <f>F60+F61</f>
        <v>44269</v>
      </c>
    </row>
    <row r="63" spans="1:10" x14ac:dyDescent="0.35">
      <c r="A63" s="219" t="s">
        <v>26</v>
      </c>
      <c r="B63" s="262">
        <f>B58-B62</f>
        <v>90718.749999999985</v>
      </c>
      <c r="C63" s="262">
        <f>C58-C62</f>
        <v>87957.999999999985</v>
      </c>
      <c r="D63" s="262">
        <f>D58-D62</f>
        <v>87301.999999999985</v>
      </c>
      <c r="E63" s="262">
        <f>E58-E62</f>
        <v>86626.999999999985</v>
      </c>
      <c r="F63" s="262">
        <f>F58-F62</f>
        <v>85930.999999999985</v>
      </c>
    </row>
    <row r="64" spans="1:10" x14ac:dyDescent="0.35">
      <c r="A64" s="219" t="s">
        <v>27</v>
      </c>
      <c r="B64" s="262">
        <f>B57+B63</f>
        <v>90718.749999999985</v>
      </c>
      <c r="C64" s="262">
        <f>C57+C63</f>
        <v>178676.74999999997</v>
      </c>
      <c r="D64" s="262">
        <f>D57+D63</f>
        <v>265978.74999999994</v>
      </c>
      <c r="E64" s="262">
        <f>E57+E63</f>
        <v>352605.74999999994</v>
      </c>
      <c r="F64" s="262">
        <f>F57+F63</f>
        <v>438536.74999999994</v>
      </c>
    </row>
    <row r="67" spans="1:8" ht="21.5" x14ac:dyDescent="0.75">
      <c r="A67" s="315" t="s">
        <v>146</v>
      </c>
      <c r="B67" s="316"/>
      <c r="C67" s="316"/>
      <c r="D67" s="316"/>
      <c r="E67" s="316"/>
      <c r="F67" s="316"/>
      <c r="G67" s="316"/>
      <c r="H67" s="316"/>
    </row>
    <row r="68" spans="1:8" x14ac:dyDescent="0.35">
      <c r="A68" s="263"/>
      <c r="B68" s="263"/>
      <c r="C68" s="263"/>
      <c r="D68" s="264"/>
      <c r="E68" s="264"/>
    </row>
    <row r="69" spans="1:8" ht="15" thickBot="1" x14ac:dyDescent="0.4">
      <c r="A69" s="110" t="s">
        <v>0</v>
      </c>
      <c r="B69" s="210" t="s">
        <v>1</v>
      </c>
      <c r="C69" s="211" t="s">
        <v>2</v>
      </c>
      <c r="D69" s="211" t="s">
        <v>3</v>
      </c>
      <c r="E69" s="211" t="s">
        <v>4</v>
      </c>
      <c r="F69" s="211" t="s">
        <v>5</v>
      </c>
      <c r="G69" s="211" t="s">
        <v>6</v>
      </c>
      <c r="H69" s="211" t="s">
        <v>7</v>
      </c>
    </row>
    <row r="70" spans="1:8" x14ac:dyDescent="0.35">
      <c r="A70" s="213" t="s">
        <v>8</v>
      </c>
      <c r="B70" s="265">
        <f t="shared" ref="B70:B76" si="1">B23</f>
        <v>9</v>
      </c>
      <c r="C70" s="266">
        <f t="shared" ref="C70:C76" si="2">C23</f>
        <v>4</v>
      </c>
      <c r="D70" s="218">
        <f>ROUND(E18*B70/C70,0)</f>
        <v>450</v>
      </c>
      <c r="E70" s="218">
        <f>ROUND((D70+D70*0.03),0)</f>
        <v>464</v>
      </c>
      <c r="F70" s="218">
        <f t="shared" ref="F70:H72" si="3">ROUND(E70+E70*0.03,0)</f>
        <v>478</v>
      </c>
      <c r="G70" s="218">
        <f t="shared" si="3"/>
        <v>492</v>
      </c>
      <c r="H70" s="218">
        <f t="shared" si="3"/>
        <v>507</v>
      </c>
    </row>
    <row r="71" spans="1:8" x14ac:dyDescent="0.35">
      <c r="A71" s="219" t="s">
        <v>9</v>
      </c>
      <c r="B71" s="265">
        <f t="shared" si="1"/>
        <v>8</v>
      </c>
      <c r="C71" s="267">
        <f t="shared" si="2"/>
        <v>6</v>
      </c>
      <c r="D71" s="218">
        <f>ROUND(E19*B71/C71,0)</f>
        <v>1739</v>
      </c>
      <c r="E71" s="218">
        <f>ROUND((D71+D71*0.03),0)</f>
        <v>1791</v>
      </c>
      <c r="F71" s="218">
        <f t="shared" si="3"/>
        <v>1845</v>
      </c>
      <c r="G71" s="218">
        <f t="shared" si="3"/>
        <v>1900</v>
      </c>
      <c r="H71" s="218">
        <f t="shared" si="3"/>
        <v>1957</v>
      </c>
    </row>
    <row r="72" spans="1:8" x14ac:dyDescent="0.35">
      <c r="A72" s="219" t="s">
        <v>10</v>
      </c>
      <c r="B72" s="265">
        <f t="shared" si="1"/>
        <v>250</v>
      </c>
      <c r="C72" s="267">
        <f t="shared" si="2"/>
        <v>3</v>
      </c>
      <c r="D72" s="224">
        <f>IF(C72=1,0,B72/C72)</f>
        <v>83.333333333333329</v>
      </c>
      <c r="E72" s="224">
        <f>ROUND(D72+D72*0.03,0)</f>
        <v>86</v>
      </c>
      <c r="F72" s="224">
        <f t="shared" si="3"/>
        <v>89</v>
      </c>
      <c r="G72" s="224">
        <f t="shared" si="3"/>
        <v>92</v>
      </c>
      <c r="H72" s="224">
        <f t="shared" si="3"/>
        <v>95</v>
      </c>
    </row>
    <row r="73" spans="1:8" x14ac:dyDescent="0.35">
      <c r="A73" s="219" t="s">
        <v>11</v>
      </c>
      <c r="B73" s="265">
        <f t="shared" si="1"/>
        <v>25000</v>
      </c>
      <c r="C73" s="267">
        <f t="shared" si="2"/>
        <v>20</v>
      </c>
      <c r="D73" s="224">
        <f>IF(AND(('Questionnaire '!C6-'Questionnaire '!C8)&gt;Budget!C73,'Questionnaire '!C10&gt;'Questionnaire '!C6),0,ROUND(Budget!B73/Budget!C73,0))</f>
        <v>1250</v>
      </c>
      <c r="E73" s="224">
        <f>IF(AND(('Questionnaire '!C6+1-'Questionnaire '!C8)&gt;Budget!C73,'Questionnaire '!C10&gt;'Questionnaire '!C6+1),0,ROUND(Budget!B73/Budget!C73*1.03,0))</f>
        <v>1288</v>
      </c>
      <c r="F73" s="224">
        <f>IF(AND(('Questionnaire '!C6+2-'Questionnaire '!C8)&gt;Budget!C73,'Questionnaire '!C10&gt;'Questionnaire '!C6+2),0,ROUND(Budget!B73/Budget!C73*1.03^2,0))</f>
        <v>1326</v>
      </c>
      <c r="G73" s="224">
        <f>IF(AND(('Questionnaire '!C6+3-'Questionnaire '!C8)&gt;Budget!C73,'Questionnaire '!C10&gt;'Questionnaire '!C6+3),0,ROUND(Budget!B73/Budget!C73*1.03^3,0))</f>
        <v>1366</v>
      </c>
      <c r="H73" s="224">
        <f>IF(AND(('Questionnaire '!C6+4-'Questionnaire '!C8)&gt;Budget!C73,'Questionnaire '!C10&gt;'Questionnaire '!C6+4),0,ROUND(Budget!B73/Budget!C73*1.03^4,0))</f>
        <v>1407</v>
      </c>
    </row>
    <row r="74" spans="1:8" x14ac:dyDescent="0.35">
      <c r="A74" s="219" t="s">
        <v>69</v>
      </c>
      <c r="B74" s="265">
        <f t="shared" si="1"/>
        <v>35000</v>
      </c>
      <c r="C74" s="267">
        <f t="shared" si="2"/>
        <v>20</v>
      </c>
      <c r="D74" s="224">
        <f>IF(AND(('Questionnaire '!C6-'Questionnaire '!C16)&gt;Budget!C74,'Questionnaire '!C18&gt;'Questionnaire '!C6),0,ROUND(Budget!B74/Budget!C74,0))</f>
        <v>1750</v>
      </c>
      <c r="E74" s="224">
        <f>IF(AND(('Questionnaire '!C6+1-'Questionnaire '!C16)&gt;Budget!C74,'Questionnaire '!C18&gt;'Questionnaire '!C6+1),0,ROUND(Budget!B74/Budget!C74*1.03,0))</f>
        <v>1803</v>
      </c>
      <c r="F74" s="224">
        <f>IF(AND(('Questionnaire '!C6+2-'Questionnaire '!C16)&gt;Budget!C74,'Questionnaire '!C18&gt;'Questionnaire '!C6+2),0,ROUND(Budget!B74/Budget!C74*1.03^2,0))</f>
        <v>1857</v>
      </c>
      <c r="G74" s="224">
        <f>IF(AND(('Questionnaire '!C6+3-'Questionnaire '!C16)&gt;Budget!C74,'Questionnaire '!C18&gt;'Questionnaire '!C6+3),0,ROUND(Budget!B74/Budget!C74*1.03^3,0))</f>
        <v>1912</v>
      </c>
      <c r="H74" s="224">
        <f>IF(AND(('Questionnaire '!C6+4-'Questionnaire '!C16)&gt;Budget!C74,'Questionnaire '!C18&gt;'Questionnaire '!C6+4),0,ROUND(Budget!B74/Budget!C74*1.03^4,0))</f>
        <v>1970</v>
      </c>
    </row>
    <row r="75" spans="1:8" x14ac:dyDescent="0.35">
      <c r="A75" s="219" t="s">
        <v>70</v>
      </c>
      <c r="B75" s="265">
        <f t="shared" si="1"/>
        <v>10000</v>
      </c>
      <c r="C75" s="267">
        <f t="shared" si="2"/>
        <v>10</v>
      </c>
      <c r="D75" s="224">
        <f>IF(AND(('Questionnaire '!C6-'Questionnaire '!C12)&gt;Budget!C75,'Questionnaire '!C14&gt;'Questionnaire '!C6),0,ROUND(Budget!B75/Budget!C75,0))</f>
        <v>1000</v>
      </c>
      <c r="E75" s="224">
        <f>IF(AND((('Questionnaire '!C6+1)-'Questionnaire '!C12)&gt;Budget!C75,'Questionnaire '!C14&gt;'Questionnaire '!C6+1),0,ROUND(Budget!B75/Budget!C75*1.03,0))</f>
        <v>1030</v>
      </c>
      <c r="F75" s="224">
        <f>IF(AND(('Questionnaire '!C6+2-'Questionnaire '!C12)&gt;Budget!C75,'Questionnaire '!C14&gt;'Questionnaire '!C6+2),0,ROUND(Budget!B75/Budget!C75*1.03^2,0))</f>
        <v>1061</v>
      </c>
      <c r="G75" s="224">
        <f>IF(AND(('Questionnaire '!C6+3-'Questionnaire '!C12)&gt;Budget!C75,'Questionnaire '!C14&gt;'Questionnaire '!C6+3),0,ROUND(Budget!B75/Budget!C75*1.03^3,0))</f>
        <v>1093</v>
      </c>
      <c r="H75" s="224">
        <f>IF(AND(('Questionnaire '!C6+4-'Questionnaire '!C12)&gt;Budget!C75,'Questionnaire '!C14&gt;'Questionnaire '!C6+4),0,ROUND(Budget!B75/Budget!C75*1.03^4,0))</f>
        <v>1126</v>
      </c>
    </row>
    <row r="76" spans="1:8" ht="29.5" thickBot="1" x14ac:dyDescent="0.4">
      <c r="A76" s="268" t="s">
        <v>71</v>
      </c>
      <c r="B76" s="257">
        <f t="shared" si="1"/>
        <v>1000</v>
      </c>
      <c r="C76" s="269">
        <f t="shared" si="2"/>
        <v>10</v>
      </c>
      <c r="D76" s="270">
        <f>IF(C72=1,0,ROUND(B76/C76,0))</f>
        <v>100</v>
      </c>
      <c r="E76" s="270">
        <f>ROUND(D76+D76*0.03,0)</f>
        <v>103</v>
      </c>
      <c r="F76" s="270">
        <f>ROUND(E76+E76*0.03,0)</f>
        <v>106</v>
      </c>
      <c r="G76" s="270">
        <f>ROUND(F76+F76*0.03,0)</f>
        <v>109</v>
      </c>
      <c r="H76" s="270">
        <f>ROUND(G76+G76*0.03,0)</f>
        <v>112</v>
      </c>
    </row>
    <row r="77" spans="1:8" x14ac:dyDescent="0.35">
      <c r="A77" s="212" t="s">
        <v>45</v>
      </c>
      <c r="B77" s="234"/>
      <c r="D77" s="147">
        <f>SUM(D70:D76)</f>
        <v>6372.3333333333339</v>
      </c>
      <c r="E77" s="147">
        <f>SUM(E70:E76)</f>
        <v>6565</v>
      </c>
      <c r="F77" s="147">
        <f>SUM(F70:F76)</f>
        <v>6762</v>
      </c>
      <c r="G77" s="147">
        <f>SUM(G70:G76)</f>
        <v>6964</v>
      </c>
      <c r="H77" s="147">
        <f>SUM(H70:H76)</f>
        <v>7174</v>
      </c>
    </row>
    <row r="78" spans="1:8" x14ac:dyDescent="0.35">
      <c r="D78" s="271"/>
      <c r="E78" s="271"/>
      <c r="F78" s="271"/>
      <c r="G78" s="271"/>
      <c r="H78" s="271"/>
    </row>
    <row r="80" spans="1:8" ht="18.5" x14ac:dyDescent="0.45">
      <c r="A80" s="307" t="s">
        <v>75</v>
      </c>
      <c r="B80" s="307"/>
      <c r="C80" s="307"/>
      <c r="D80" s="307"/>
      <c r="E80" s="307"/>
      <c r="F80" s="307"/>
      <c r="G80" s="133"/>
      <c r="H80" s="133"/>
    </row>
    <row r="81" spans="1:6" ht="15" thickBot="1" x14ac:dyDescent="0.4">
      <c r="A81" s="211" t="s">
        <v>29</v>
      </c>
      <c r="B81" s="211"/>
      <c r="C81" s="210" t="s">
        <v>30</v>
      </c>
      <c r="D81" s="211" t="s">
        <v>31</v>
      </c>
      <c r="E81" s="211" t="s">
        <v>32</v>
      </c>
    </row>
    <row r="82" spans="1:6" x14ac:dyDescent="0.35">
      <c r="A82" s="272" t="s">
        <v>33</v>
      </c>
      <c r="B82" s="272"/>
      <c r="C82" s="234"/>
      <c r="D82" s="125"/>
    </row>
    <row r="83" spans="1:6" x14ac:dyDescent="0.35">
      <c r="A83" s="125" t="s">
        <v>34</v>
      </c>
      <c r="C83" s="273">
        <f>E13*C86</f>
        <v>839999.99999999988</v>
      </c>
      <c r="D83" s="274">
        <f>H7</f>
        <v>0.13</v>
      </c>
      <c r="E83" s="172">
        <f>D83*C83</f>
        <v>109199.99999999999</v>
      </c>
    </row>
    <row r="84" spans="1:6" x14ac:dyDescent="0.35">
      <c r="A84" s="125" t="s">
        <v>35</v>
      </c>
      <c r="C84" s="273">
        <f>E14*C86</f>
        <v>157499.99999999997</v>
      </c>
      <c r="D84" s="274">
        <f>H8</f>
        <v>0.11</v>
      </c>
      <c r="E84" s="172">
        <f>D84*C84</f>
        <v>17324.999999999996</v>
      </c>
    </row>
    <row r="85" spans="1:6" x14ac:dyDescent="0.35">
      <c r="A85" s="125" t="s">
        <v>36</v>
      </c>
      <c r="C85" s="273">
        <f>E15*C86</f>
        <v>52499.999999999993</v>
      </c>
      <c r="D85" s="148">
        <f>H9</f>
        <v>7.0000000000000007E-2</v>
      </c>
      <c r="E85" s="275">
        <f>D85*C85</f>
        <v>3675</v>
      </c>
    </row>
    <row r="86" spans="1:6" x14ac:dyDescent="0.35">
      <c r="A86" s="212" t="s">
        <v>79</v>
      </c>
      <c r="B86" s="212"/>
      <c r="C86" s="273">
        <f>C88*E11</f>
        <v>1049999.9999999998</v>
      </c>
      <c r="D86" s="274"/>
      <c r="E86" s="276">
        <f>SUM(E83:E85)</f>
        <v>130199.99999999999</v>
      </c>
    </row>
    <row r="87" spans="1:6" x14ac:dyDescent="0.35">
      <c r="A87" s="272" t="s">
        <v>14</v>
      </c>
      <c r="B87" s="272"/>
      <c r="C87" s="272"/>
      <c r="D87" s="273"/>
      <c r="E87" s="274"/>
      <c r="F87" s="172"/>
    </row>
    <row r="88" spans="1:6" x14ac:dyDescent="0.35">
      <c r="A88" s="125" t="s">
        <v>82</v>
      </c>
      <c r="C88" s="273">
        <f>E5</f>
        <v>2000000</v>
      </c>
      <c r="D88" s="148">
        <f>H5</f>
        <v>0.01</v>
      </c>
      <c r="E88" s="172">
        <f>D88*C88</f>
        <v>20000</v>
      </c>
    </row>
    <row r="89" spans="1:6" x14ac:dyDescent="0.35">
      <c r="A89" s="125" t="s">
        <v>83</v>
      </c>
      <c r="C89" s="273">
        <f>E19+E18</f>
        <v>1504</v>
      </c>
      <c r="D89" s="172">
        <f>C36</f>
        <v>2</v>
      </c>
      <c r="E89" s="172">
        <f>D89*C89</f>
        <v>3008</v>
      </c>
    </row>
    <row r="90" spans="1:6" x14ac:dyDescent="0.35">
      <c r="A90" s="125" t="s">
        <v>84</v>
      </c>
      <c r="C90" s="273">
        <f>B37</f>
        <v>100</v>
      </c>
      <c r="D90" s="274">
        <f>C37</f>
        <v>3.5</v>
      </c>
      <c r="E90" s="172">
        <f>ROUND(D90*C90,0)</f>
        <v>350</v>
      </c>
    </row>
    <row r="91" spans="1:6" x14ac:dyDescent="0.35">
      <c r="A91" s="125" t="s">
        <v>85</v>
      </c>
      <c r="C91" s="273">
        <f>B38</f>
        <v>100</v>
      </c>
      <c r="D91" s="274">
        <f>C38</f>
        <v>3.5</v>
      </c>
      <c r="E91" s="172">
        <f>ROUND(D91*C91,0)</f>
        <v>350</v>
      </c>
    </row>
    <row r="92" spans="1:6" x14ac:dyDescent="0.35">
      <c r="A92" s="125" t="s">
        <v>106</v>
      </c>
      <c r="C92" s="273"/>
      <c r="E92" s="172">
        <f>C40</f>
        <v>3500</v>
      </c>
    </row>
    <row r="93" spans="1:6" x14ac:dyDescent="0.35">
      <c r="A93" s="125" t="s">
        <v>86</v>
      </c>
      <c r="C93" s="273">
        <f>B41</f>
        <v>1237</v>
      </c>
      <c r="D93" s="274">
        <f>C41</f>
        <v>1.25</v>
      </c>
      <c r="E93" s="172">
        <f>ROUND(D93*C93,0)</f>
        <v>1546</v>
      </c>
    </row>
    <row r="94" spans="1:6" x14ac:dyDescent="0.35">
      <c r="A94" s="125" t="s">
        <v>87</v>
      </c>
      <c r="C94" s="273">
        <f>B39</f>
        <v>1</v>
      </c>
      <c r="D94" s="172">
        <f>C39</f>
        <v>100</v>
      </c>
      <c r="E94" s="172">
        <f>C94*D94</f>
        <v>100</v>
      </c>
    </row>
    <row r="95" spans="1:6" x14ac:dyDescent="0.35">
      <c r="A95" s="125" t="s">
        <v>102</v>
      </c>
      <c r="C95" s="273"/>
      <c r="D95" s="172"/>
      <c r="E95" s="172">
        <f>C42</f>
        <v>8000</v>
      </c>
    </row>
    <row r="96" spans="1:6" x14ac:dyDescent="0.35">
      <c r="A96" s="125" t="s">
        <v>80</v>
      </c>
      <c r="C96" s="273"/>
      <c r="D96" s="274"/>
      <c r="E96" s="275">
        <f>C43</f>
        <v>1000</v>
      </c>
    </row>
    <row r="97" spans="1:6" x14ac:dyDescent="0.35">
      <c r="A97" s="212" t="s">
        <v>37</v>
      </c>
      <c r="B97" s="212"/>
      <c r="C97" s="212"/>
      <c r="D97" s="273"/>
      <c r="E97" s="276">
        <f>SUM(E88:E96)</f>
        <v>37854</v>
      </c>
      <c r="F97" s="276"/>
    </row>
    <row r="98" spans="1:6" x14ac:dyDescent="0.35">
      <c r="A98" s="272" t="s">
        <v>38</v>
      </c>
      <c r="B98" s="272"/>
      <c r="C98" s="272"/>
      <c r="D98" s="273"/>
      <c r="E98" s="274"/>
      <c r="F98" s="172"/>
    </row>
    <row r="99" spans="1:6" x14ac:dyDescent="0.35">
      <c r="A99" s="263" t="s">
        <v>19</v>
      </c>
    </row>
    <row r="100" spans="1:6" x14ac:dyDescent="0.35">
      <c r="A100" s="125" t="s">
        <v>111</v>
      </c>
      <c r="C100" s="273">
        <f t="shared" ref="C100:D104" si="4">B45</f>
        <v>1</v>
      </c>
      <c r="D100" s="172">
        <f t="shared" si="4"/>
        <v>750</v>
      </c>
      <c r="E100" s="172">
        <f>D100*C100</f>
        <v>750</v>
      </c>
    </row>
    <row r="101" spans="1:6" x14ac:dyDescent="0.35">
      <c r="A101" s="125" t="s">
        <v>112</v>
      </c>
      <c r="C101" s="273">
        <f t="shared" si="4"/>
        <v>1</v>
      </c>
      <c r="D101" s="172">
        <f t="shared" si="4"/>
        <v>250</v>
      </c>
      <c r="E101" s="172">
        <f>C101*D101</f>
        <v>250</v>
      </c>
    </row>
    <row r="102" spans="1:6" x14ac:dyDescent="0.35">
      <c r="A102" s="125" t="s">
        <v>81</v>
      </c>
      <c r="C102" s="273">
        <f t="shared" si="4"/>
        <v>1</v>
      </c>
      <c r="D102" s="172">
        <f t="shared" si="4"/>
        <v>500</v>
      </c>
      <c r="E102" s="172">
        <f>D102*C102</f>
        <v>500</v>
      </c>
    </row>
    <row r="103" spans="1:6" x14ac:dyDescent="0.35">
      <c r="A103" s="125" t="s">
        <v>109</v>
      </c>
      <c r="C103" s="273">
        <f t="shared" si="4"/>
        <v>1</v>
      </c>
      <c r="D103" s="172">
        <f t="shared" si="4"/>
        <v>54</v>
      </c>
      <c r="E103" s="172">
        <f>C103*D103</f>
        <v>54</v>
      </c>
    </row>
    <row r="104" spans="1:6" x14ac:dyDescent="0.35">
      <c r="A104" s="125" t="s">
        <v>110</v>
      </c>
      <c r="C104" s="273">
        <f t="shared" si="4"/>
        <v>1</v>
      </c>
      <c r="D104" s="172">
        <f t="shared" si="4"/>
        <v>100</v>
      </c>
      <c r="E104" s="172">
        <f>D104*C104</f>
        <v>100</v>
      </c>
    </row>
    <row r="105" spans="1:6" x14ac:dyDescent="0.35">
      <c r="A105" s="125" t="s">
        <v>39</v>
      </c>
      <c r="E105" s="172">
        <f>ROUND(AVERAGE(F30:J30),0)</f>
        <v>2287</v>
      </c>
    </row>
    <row r="106" spans="1:6" x14ac:dyDescent="0.35">
      <c r="A106" s="125" t="s">
        <v>40</v>
      </c>
      <c r="E106" s="275">
        <f>AVERAGE(D77:H77)</f>
        <v>6767.4666666666672</v>
      </c>
    </row>
    <row r="107" spans="1:6" x14ac:dyDescent="0.35">
      <c r="A107" s="212" t="s">
        <v>41</v>
      </c>
      <c r="B107" s="212"/>
      <c r="C107" s="212"/>
      <c r="E107" s="276">
        <f>SUM(E100:E106)</f>
        <v>10708.466666666667</v>
      </c>
    </row>
    <row r="108" spans="1:6" x14ac:dyDescent="0.35">
      <c r="A108" s="212"/>
      <c r="B108" s="212"/>
      <c r="C108" s="212"/>
      <c r="E108" s="276"/>
    </row>
    <row r="109" spans="1:6" x14ac:dyDescent="0.35">
      <c r="A109" s="272" t="s">
        <v>89</v>
      </c>
      <c r="B109" s="272"/>
      <c r="C109" s="272"/>
      <c r="E109" s="276">
        <f>E107+E97</f>
        <v>48562.466666666667</v>
      </c>
    </row>
    <row r="110" spans="1:6" x14ac:dyDescent="0.35">
      <c r="A110" s="272"/>
      <c r="B110" s="272"/>
      <c r="C110" s="272"/>
      <c r="E110" s="276"/>
    </row>
    <row r="111" spans="1:6" x14ac:dyDescent="0.35">
      <c r="A111" s="272" t="s">
        <v>119</v>
      </c>
      <c r="B111" s="272"/>
      <c r="C111" s="272"/>
      <c r="E111" s="276"/>
    </row>
    <row r="112" spans="1:6" x14ac:dyDescent="0.35">
      <c r="A112" s="263" t="s">
        <v>120</v>
      </c>
      <c r="B112" s="272"/>
      <c r="C112" s="272"/>
      <c r="E112" s="172"/>
    </row>
    <row r="113" spans="1:27" x14ac:dyDescent="0.35">
      <c r="A113" s="212" t="s">
        <v>116</v>
      </c>
      <c r="B113" s="272"/>
      <c r="C113" s="272"/>
      <c r="E113" s="172">
        <f>E86-(E109-E106)</f>
        <v>88404.999999999985</v>
      </c>
    </row>
    <row r="114" spans="1:27" x14ac:dyDescent="0.35">
      <c r="A114" s="212" t="s">
        <v>117</v>
      </c>
      <c r="B114" s="272"/>
      <c r="C114" s="272"/>
      <c r="E114" s="173">
        <f>(E109-E106)/C86</f>
        <v>3.9804761904761912E-2</v>
      </c>
    </row>
    <row r="115" spans="1:27" x14ac:dyDescent="0.35">
      <c r="A115" s="212" t="s">
        <v>134</v>
      </c>
      <c r="B115" s="272"/>
      <c r="C115" s="272"/>
      <c r="E115" s="277">
        <f>((E109-E106)/(D83*(C83/C86)+D84*(C84/C86)+D85*(C85/C86)))/C88</f>
        <v>0.1685282258064516</v>
      </c>
    </row>
    <row r="116" spans="1:27" x14ac:dyDescent="0.35">
      <c r="A116" s="263" t="s">
        <v>89</v>
      </c>
      <c r="D116" s="125"/>
    </row>
    <row r="117" spans="1:27" x14ac:dyDescent="0.35">
      <c r="A117" s="212" t="s">
        <v>42</v>
      </c>
      <c r="B117" s="212"/>
      <c r="C117" s="212"/>
      <c r="E117" s="172">
        <f>E86-E109</f>
        <v>81637.533333333326</v>
      </c>
    </row>
    <row r="118" spans="1:27" x14ac:dyDescent="0.35">
      <c r="A118" s="212" t="s">
        <v>43</v>
      </c>
      <c r="B118" s="212"/>
      <c r="C118" s="212"/>
      <c r="E118" s="278">
        <f>E109/C86</f>
        <v>4.6249968253968265E-2</v>
      </c>
    </row>
    <row r="119" spans="1:27" x14ac:dyDescent="0.35">
      <c r="A119" s="212" t="s">
        <v>130</v>
      </c>
      <c r="B119" s="212"/>
      <c r="C119" s="212"/>
      <c r="E119" s="277">
        <f>(E109/(D83*(C83/C86)+D84*(C84/C86)+D85*(C85/C86)))/C88</f>
        <v>0.19581639784946234</v>
      </c>
    </row>
    <row r="122" spans="1:27" ht="15.5" x14ac:dyDescent="0.35">
      <c r="A122" s="107"/>
      <c r="B122" s="107"/>
      <c r="C122" s="107"/>
      <c r="D122" s="107"/>
      <c r="E122" s="107"/>
      <c r="F122" s="107"/>
      <c r="G122" s="107"/>
      <c r="H122" s="107"/>
    </row>
    <row r="123" spans="1:27" ht="15.5" x14ac:dyDescent="0.35">
      <c r="A123" s="107"/>
      <c r="B123" s="107"/>
      <c r="C123" s="107"/>
      <c r="D123" s="279"/>
      <c r="E123" s="107"/>
      <c r="F123" s="107"/>
      <c r="G123" s="107"/>
      <c r="H123" s="107"/>
    </row>
    <row r="124" spans="1:27" ht="15.5" x14ac:dyDescent="0.35">
      <c r="A124" s="107"/>
      <c r="B124" s="107"/>
      <c r="C124" s="107"/>
      <c r="D124" s="279"/>
      <c r="E124" s="168"/>
      <c r="F124" s="168"/>
      <c r="G124" s="280"/>
      <c r="H124" s="159"/>
    </row>
    <row r="125" spans="1:27" ht="15.5" x14ac:dyDescent="0.35">
      <c r="L125" s="107"/>
      <c r="M125" s="279"/>
      <c r="N125" s="107"/>
      <c r="O125" s="107"/>
      <c r="P125" s="107"/>
      <c r="Q125" s="107"/>
    </row>
    <row r="126" spans="1:27" x14ac:dyDescent="0.35">
      <c r="M126" s="234"/>
      <c r="V126" s="234"/>
    </row>
    <row r="127" spans="1:27" x14ac:dyDescent="0.35">
      <c r="J127" s="172"/>
      <c r="M127" s="234"/>
      <c r="N127" s="172"/>
      <c r="O127" s="172"/>
      <c r="P127" s="172"/>
      <c r="Q127" s="148"/>
      <c r="R127" s="149"/>
      <c r="V127" s="234"/>
      <c r="W127" s="172"/>
      <c r="X127" s="172"/>
      <c r="Y127" s="172"/>
      <c r="Z127" s="148"/>
      <c r="AA127" s="149"/>
    </row>
    <row r="128" spans="1:27" x14ac:dyDescent="0.35">
      <c r="M128" s="146"/>
      <c r="N128" s="147"/>
      <c r="O128" s="147"/>
      <c r="P128" s="148"/>
      <c r="Q128" s="149"/>
    </row>
    <row r="129" spans="13:17" x14ac:dyDescent="0.35">
      <c r="M129" s="146"/>
      <c r="N129" s="147"/>
      <c r="O129" s="147"/>
      <c r="P129" s="148"/>
      <c r="Q129" s="149"/>
    </row>
    <row r="130" spans="13:17" x14ac:dyDescent="0.35">
      <c r="M130" s="146"/>
      <c r="N130" s="147"/>
      <c r="P130" s="148"/>
      <c r="Q130" s="149"/>
    </row>
    <row r="131" spans="13:17" x14ac:dyDescent="0.35">
      <c r="M131" s="146"/>
      <c r="N131" s="147"/>
      <c r="P131" s="148"/>
      <c r="Q131" s="149"/>
    </row>
    <row r="132" spans="13:17" x14ac:dyDescent="0.35">
      <c r="M132" s="146"/>
      <c r="N132" s="147"/>
      <c r="O132" s="147"/>
      <c r="P132" s="148"/>
      <c r="Q132" s="149"/>
    </row>
    <row r="133" spans="13:17" x14ac:dyDescent="0.35">
      <c r="M133" s="146"/>
      <c r="N133" s="147"/>
      <c r="O133" s="147"/>
      <c r="P133" s="148"/>
      <c r="Q133" s="149"/>
    </row>
    <row r="134" spans="13:17" x14ac:dyDescent="0.35">
      <c r="M134" s="146"/>
      <c r="N134" s="147"/>
      <c r="O134" s="147"/>
      <c r="P134" s="148"/>
      <c r="Q134" s="149"/>
    </row>
    <row r="135" spans="13:17" x14ac:dyDescent="0.35">
      <c r="M135" s="146"/>
      <c r="N135" s="147"/>
      <c r="O135" s="147"/>
      <c r="P135" s="148"/>
      <c r="Q135" s="149"/>
    </row>
    <row r="136" spans="13:17" x14ac:dyDescent="0.35">
      <c r="M136" s="146"/>
      <c r="N136" s="147"/>
      <c r="O136" s="147"/>
      <c r="P136" s="148"/>
      <c r="Q136" s="149"/>
    </row>
    <row r="137" spans="13:17" x14ac:dyDescent="0.35">
      <c r="M137" s="146"/>
      <c r="N137" s="147"/>
      <c r="O137" s="147"/>
      <c r="P137" s="148"/>
      <c r="Q137" s="149"/>
    </row>
    <row r="138" spans="13:17" x14ac:dyDescent="0.35">
      <c r="M138" s="146"/>
      <c r="N138" s="147"/>
      <c r="O138" s="147"/>
      <c r="P138" s="148"/>
      <c r="Q138" s="149"/>
    </row>
    <row r="139" spans="13:17" x14ac:dyDescent="0.35">
      <c r="M139" s="146"/>
      <c r="N139" s="147"/>
      <c r="O139" s="147"/>
      <c r="P139" s="148"/>
      <c r="Q139" s="149"/>
    </row>
    <row r="140" spans="13:17" x14ac:dyDescent="0.35">
      <c r="M140" s="146"/>
      <c r="N140" s="147"/>
      <c r="O140" s="147"/>
      <c r="P140" s="148"/>
      <c r="Q140" s="149"/>
    </row>
    <row r="141" spans="13:17" x14ac:dyDescent="0.35">
      <c r="M141" s="146"/>
      <c r="N141" s="147"/>
      <c r="O141" s="147"/>
      <c r="P141" s="148"/>
      <c r="Q141" s="149"/>
    </row>
    <row r="142" spans="13:17" x14ac:dyDescent="0.35">
      <c r="M142" s="234"/>
    </row>
    <row r="143" spans="13:17" x14ac:dyDescent="0.35">
      <c r="M143" s="234"/>
    </row>
    <row r="144" spans="13:17" x14ac:dyDescent="0.35">
      <c r="M144" s="234"/>
    </row>
    <row r="145" spans="12:27" x14ac:dyDescent="0.35">
      <c r="M145" s="234"/>
    </row>
    <row r="146" spans="12:27" x14ac:dyDescent="0.35">
      <c r="M146" s="234"/>
    </row>
    <row r="147" spans="12:27" x14ac:dyDescent="0.35">
      <c r="M147" s="234"/>
    </row>
    <row r="148" spans="12:27" x14ac:dyDescent="0.35">
      <c r="M148" s="234"/>
    </row>
    <row r="149" spans="12:27" x14ac:dyDescent="0.35">
      <c r="M149" s="234"/>
    </row>
    <row r="150" spans="12:27" x14ac:dyDescent="0.35">
      <c r="M150" s="234"/>
    </row>
    <row r="151" spans="12:27" x14ac:dyDescent="0.35">
      <c r="M151" s="234"/>
    </row>
    <row r="152" spans="12:27" x14ac:dyDescent="0.35">
      <c r="M152" s="234"/>
    </row>
    <row r="153" spans="12:27" x14ac:dyDescent="0.35">
      <c r="M153" s="234"/>
    </row>
    <row r="154" spans="12:27" x14ac:dyDescent="0.35">
      <c r="M154" s="234"/>
    </row>
    <row r="155" spans="12:27" x14ac:dyDescent="0.35">
      <c r="M155" s="234"/>
      <c r="N155" s="274"/>
      <c r="O155" s="274"/>
      <c r="P155" s="278"/>
      <c r="Q155" s="127"/>
      <c r="R155" s="149"/>
      <c r="W155" s="172"/>
      <c r="X155" s="172"/>
      <c r="Y155" s="172"/>
      <c r="Z155" s="173"/>
      <c r="AA155" s="207"/>
    </row>
    <row r="156" spans="12:27" x14ac:dyDescent="0.35">
      <c r="L156" s="149"/>
      <c r="M156" s="234"/>
      <c r="N156" s="274"/>
      <c r="O156" s="274"/>
      <c r="P156" s="148"/>
      <c r="Q156" s="127"/>
      <c r="R156" s="149"/>
      <c r="U156" s="149"/>
    </row>
    <row r="157" spans="12:27" x14ac:dyDescent="0.35">
      <c r="L157" s="149"/>
      <c r="M157" s="234"/>
      <c r="N157" s="274"/>
      <c r="O157" s="274"/>
      <c r="P157" s="148"/>
      <c r="Q157" s="127"/>
      <c r="R157" s="149"/>
      <c r="U157" s="149"/>
    </row>
    <row r="158" spans="12:27" x14ac:dyDescent="0.35">
      <c r="L158" s="149"/>
      <c r="M158" s="234"/>
      <c r="N158" s="274"/>
      <c r="O158" s="274"/>
      <c r="P158" s="148"/>
      <c r="Q158" s="127"/>
      <c r="R158" s="149"/>
      <c r="U158" s="149"/>
    </row>
    <row r="159" spans="12:27" x14ac:dyDescent="0.35">
      <c r="L159" s="149"/>
      <c r="M159" s="234"/>
      <c r="N159" s="274"/>
      <c r="O159" s="274"/>
      <c r="P159" s="148"/>
      <c r="Q159" s="127"/>
      <c r="R159" s="149"/>
      <c r="U159" s="149"/>
    </row>
    <row r="160" spans="12:27" x14ac:dyDescent="0.35">
      <c r="L160" s="149"/>
      <c r="M160" s="234"/>
      <c r="N160" s="274"/>
      <c r="O160" s="274"/>
      <c r="P160" s="148"/>
      <c r="Q160" s="127"/>
      <c r="R160" s="149"/>
      <c r="U160" s="149"/>
    </row>
    <row r="161" spans="12:21" x14ac:dyDescent="0.35">
      <c r="L161" s="149"/>
      <c r="M161" s="234"/>
      <c r="N161" s="274"/>
      <c r="O161" s="274"/>
      <c r="P161" s="148"/>
      <c r="Q161" s="127"/>
      <c r="R161" s="149"/>
      <c r="U161" s="149"/>
    </row>
    <row r="162" spans="12:21" x14ac:dyDescent="0.35">
      <c r="L162" s="149"/>
      <c r="M162" s="234"/>
      <c r="N162" s="274"/>
      <c r="O162" s="274"/>
      <c r="P162" s="148"/>
      <c r="Q162" s="127"/>
      <c r="R162" s="149"/>
      <c r="U162" s="149"/>
    </row>
    <row r="163" spans="12:21" x14ac:dyDescent="0.35">
      <c r="L163" s="149"/>
      <c r="M163" s="234"/>
      <c r="N163" s="274"/>
      <c r="O163" s="274"/>
      <c r="P163" s="148"/>
      <c r="Q163" s="127"/>
      <c r="R163" s="149"/>
      <c r="U163" s="149"/>
    </row>
    <row r="164" spans="12:21" x14ac:dyDescent="0.35">
      <c r="L164" s="149"/>
      <c r="M164" s="234"/>
      <c r="N164" s="274"/>
      <c r="O164" s="274"/>
      <c r="P164" s="148"/>
      <c r="Q164" s="127"/>
      <c r="R164" s="149"/>
      <c r="U164" s="149"/>
    </row>
    <row r="165" spans="12:21" x14ac:dyDescent="0.35">
      <c r="L165" s="149"/>
      <c r="M165" s="234"/>
      <c r="N165" s="274"/>
      <c r="O165" s="274"/>
      <c r="P165" s="148"/>
      <c r="Q165" s="127"/>
      <c r="R165" s="149"/>
      <c r="U165" s="149"/>
    </row>
    <row r="166" spans="12:21" x14ac:dyDescent="0.35">
      <c r="L166" s="149"/>
      <c r="M166" s="234"/>
      <c r="N166" s="274"/>
      <c r="O166" s="274"/>
      <c r="P166" s="148"/>
      <c r="Q166" s="127"/>
      <c r="R166" s="149"/>
      <c r="U166" s="149"/>
    </row>
    <row r="167" spans="12:21" x14ac:dyDescent="0.35">
      <c r="L167" s="149"/>
      <c r="M167" s="234"/>
      <c r="N167" s="274"/>
      <c r="O167" s="274"/>
      <c r="P167" s="148"/>
      <c r="Q167" s="127"/>
      <c r="R167" s="149"/>
      <c r="U167" s="149"/>
    </row>
    <row r="168" spans="12:21" x14ac:dyDescent="0.35">
      <c r="L168" s="149"/>
      <c r="M168" s="234"/>
      <c r="N168" s="274"/>
      <c r="O168" s="274"/>
      <c r="P168" s="148"/>
      <c r="Q168" s="127"/>
      <c r="R168" s="149"/>
      <c r="U168" s="149"/>
    </row>
    <row r="169" spans="12:21" x14ac:dyDescent="0.35">
      <c r="L169" s="149"/>
      <c r="M169" s="234"/>
      <c r="N169" s="274"/>
      <c r="O169" s="274"/>
      <c r="P169" s="148"/>
      <c r="Q169" s="127"/>
      <c r="R169" s="149"/>
      <c r="U169" s="149"/>
    </row>
    <row r="170" spans="12:21" x14ac:dyDescent="0.35">
      <c r="L170" s="149"/>
      <c r="M170" s="234"/>
      <c r="N170" s="274"/>
      <c r="O170" s="274"/>
      <c r="P170" s="148"/>
      <c r="Q170" s="127"/>
      <c r="R170" s="149"/>
      <c r="U170" s="149"/>
    </row>
  </sheetData>
  <sheetProtection algorithmName="SHA-512" hashValue="szAG+0zaOsIUV+0KBAgBFVKea779XQvbUk+P+BvmKDKRlNjPgKfnUw7/w4lPm1FmfLl+UaPYR36gu5nECnKVPQ==" saltValue="pdBGDbbkuGv1H3bEsLU3XQ==" spinCount="100000" sheet="1" objects="1" scenarios="1"/>
  <scenarios current="0" show="0" sqref="D101 D103 D105 D106 B74">
    <scenario name="$0.06/$0.04/$0.03" locked="1" count="3" user="Thomas Anderson" comment="Created by Thomas Anderson on 11/5/2013_x000a_Modified by Thomas Anderson on 11/5/2013">
      <inputCells r="H7" val="0.06" numFmtId="164"/>
      <inputCells r="H8" val="0.04" numFmtId="164"/>
      <inputCells r="H9" val="0.03" numFmtId="167"/>
    </scenario>
    <scenario name="$0.07/$0.05/$0.035" locked="1" count="3" user="Thomas Anderson" comment="Created by Thomas Anderson on 11/5/2013_x000a_Modified by Thomas Anderson on 11/5/2013">
      <inputCells r="H7" val="0.07" numFmtId="164"/>
      <inputCells r="H8" val="0.05" numFmtId="164"/>
      <inputCells r="H9" val="0.035" numFmtId="167"/>
    </scenario>
    <scenario name="$0.08/$0.06/$0.04" locked="1" count="3" user="Thomas Anderson" comment="Created by Thomas Anderson on 11/5/2013_x000a_Modified by Thomas Anderson on 11/5/2013">
      <inputCells r="H7" val="0.08" numFmtId="164"/>
      <inputCells r="H8" val="0.06" numFmtId="164"/>
      <inputCells r="H9" val="0.04" numFmtId="167"/>
    </scenario>
    <scenario name="$0.09/$0.07/$0.045" locked="1" count="3" user="Thomas Anderson" comment="Created by Thomas Anderson on 11/5/2013_x000a_Modified by Thomas Anderson on 11/5/2013">
      <inputCells r="H7" val="0.09" numFmtId="164"/>
      <inputCells r="H8" val="0.07" numFmtId="164"/>
      <inputCells r="H9" val="0.045" numFmtId="167"/>
    </scenario>
    <scenario name="$0.10/$0.08/$0.05" locked="1" count="3" user="Thomas Anderson" comment="Created by Thomas Anderson on 11/5/2013">
      <inputCells r="H7" val="0.1" numFmtId="164"/>
      <inputCells r="H8" val="0.08" numFmtId="164"/>
      <inputCells r="H9" val="0.05" numFmtId="167"/>
    </scenario>
    <scenario name="$0.11/$.09/$0.055" locked="1" count="3" user="Thomas Anderson" comment="Created by Thomas Anderson on 11/5/2013_x000a_Modified by Thomas Anderson on 11/5/2013">
      <inputCells r="H7" val="0.11" numFmtId="164"/>
      <inputCells r="H8" val="0.09" numFmtId="164"/>
      <inputCells r="H9" val="0.055" numFmtId="167"/>
    </scenario>
    <scenario name="$0.05/$0.03/$0.025" locked="1" count="3" user="Thomas Anderson" comment="Created by Thomas Anderson on 11/5/2013">
      <inputCells r="H7" val="0.05" numFmtId="164"/>
      <inputCells r="H8" val="0.03" numFmtId="164"/>
      <inputCells r="H9" val="0.025" numFmtId="167"/>
    </scenario>
    <scenario name="$0.04/$0.02/$0.02" locked="1" count="3" user="Thomas Anderson" comment="Created by Thomas Anderson on 11/5/2013">
      <inputCells r="H7" val="0.04" numFmtId="164"/>
      <inputCells r="H8" val="0.02" numFmtId="164"/>
      <inputCells r="H9" val="0.02" numFmtId="167"/>
    </scenario>
  </scenarios>
  <mergeCells count="22">
    <mergeCell ref="A1:J1"/>
    <mergeCell ref="A21:J21"/>
    <mergeCell ref="C5:D5"/>
    <mergeCell ref="C6:D6"/>
    <mergeCell ref="A2:J2"/>
    <mergeCell ref="C18:D18"/>
    <mergeCell ref="C19:D19"/>
    <mergeCell ref="C7:D7"/>
    <mergeCell ref="C8:D8"/>
    <mergeCell ref="C9:D9"/>
    <mergeCell ref="C16:D16"/>
    <mergeCell ref="A32:H32"/>
    <mergeCell ref="A55:F55"/>
    <mergeCell ref="A80:F80"/>
    <mergeCell ref="C10:D10"/>
    <mergeCell ref="C11:D11"/>
    <mergeCell ref="C12:E12"/>
    <mergeCell ref="C13:D13"/>
    <mergeCell ref="C14:D14"/>
    <mergeCell ref="C15:D15"/>
    <mergeCell ref="C17:D17"/>
    <mergeCell ref="A67:H67"/>
  </mergeCells>
  <phoneticPr fontId="5" type="noConversion"/>
  <dataValidations count="8">
    <dataValidation type="whole" operator="greaterThan" allowBlank="1" showInputMessage="1" showErrorMessage="1" sqref="C72:C76 B70:B76 D38:D43 E42:H42 D35:D36 D45:D49 E48:H49 B23:B29 E5 C25:C29 D26:D28" xr:uid="{00000000-0002-0000-0300-000000000000}">
      <formula1>0</formula1>
    </dataValidation>
    <dataValidation type="whole" allowBlank="1" showInputMessage="1" showErrorMessage="1" sqref="E26:E29" xr:uid="{00000000-0002-0000-0300-000001000000}">
      <formula1>0</formula1>
      <formula2>1</formula2>
    </dataValidation>
    <dataValidation type="decimal" operator="greaterThan" allowBlank="1" showInputMessage="1" showErrorMessage="1" sqref="H5 E10 E6:E7 H7:H9" xr:uid="{00000000-0002-0000-0300-000002000000}">
      <formula1>0</formula1>
    </dataValidation>
    <dataValidation type="decimal" operator="greaterThanOrEqual" allowBlank="1" showInputMessage="1" showErrorMessage="1" sqref="E13:E16" xr:uid="{00000000-0002-0000-0300-000003000000}">
      <formula1>0</formula1>
    </dataValidation>
    <dataValidation type="whole" operator="greaterThanOrEqual" allowBlank="1" showInputMessage="1" showErrorMessage="1" sqref="E25" xr:uid="{F78D3DF9-2620-46F9-B520-EEA317401816}">
      <formula1>0</formula1>
    </dataValidation>
    <dataValidation operator="greaterThanOrEqual" allowBlank="1" showInputMessage="1" showErrorMessage="1" sqref="E11" xr:uid="{75A4916C-916C-41B3-BD74-0817D43F99DE}"/>
    <dataValidation type="decimal" allowBlank="1" showInputMessage="1" showErrorMessage="1" sqref="E9" xr:uid="{1E058FC8-A6C8-4F8C-BF93-D234C69881D2}">
      <formula1>0</formula1>
      <formula2>1</formula2>
    </dataValidation>
    <dataValidation type="list" operator="greaterThan" showInputMessage="1" showErrorMessage="1" sqref="D29 D25" xr:uid="{E37CCD33-05B3-43D2-AAE0-F67839C1BCBA}">
      <formula1>$P$18:$P$24</formula1>
    </dataValidation>
  </dataValidations>
  <pageMargins left="0.5" right="0.5" top="1" bottom="1" header="0.5" footer="0.5"/>
  <pageSetup scale="73" orientation="landscape" horizontalDpi="4294967292" verticalDpi="4294967292" r:id="rId1"/>
  <headerFooter alignWithMargins="0"/>
  <rowBreaks count="3" manualBreakCount="3">
    <brk id="31" max="16383" man="1"/>
    <brk id="54" max="16383" man="1"/>
    <brk id="79" max="16383" man="1"/>
  </rowBreaks>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9"/>
  <sheetViews>
    <sheetView zoomScaleNormal="100" workbookViewId="0">
      <selection sqref="A1:XFD1048576"/>
    </sheetView>
  </sheetViews>
  <sheetFormatPr defaultColWidth="11" defaultRowHeight="15.5" x14ac:dyDescent="0.35"/>
  <cols>
    <col min="1" max="1" width="17.5" style="179" bestFit="1" customWidth="1"/>
    <col min="2" max="2" width="18.5" style="107" bestFit="1" customWidth="1"/>
    <col min="3" max="3" width="12.08203125" style="107" bestFit="1" customWidth="1"/>
    <col min="4" max="4" width="9.33203125" style="107" bestFit="1" customWidth="1"/>
    <col min="5" max="5" width="16.5" style="107" bestFit="1" customWidth="1"/>
    <col min="6" max="6" width="15.83203125" style="107" bestFit="1" customWidth="1"/>
    <col min="7" max="7" width="16.25" style="107" bestFit="1" customWidth="1"/>
    <col min="8" max="16384" width="11" style="107"/>
  </cols>
  <sheetData>
    <row r="1" spans="1:9" ht="21" x14ac:dyDescent="0.5">
      <c r="A1" s="326" t="s">
        <v>123</v>
      </c>
      <c r="B1" s="326"/>
      <c r="C1" s="326"/>
      <c r="D1" s="326"/>
      <c r="E1" s="326"/>
      <c r="F1" s="326"/>
      <c r="G1" s="326"/>
    </row>
    <row r="2" spans="1:9" ht="18.5" x14ac:dyDescent="0.45">
      <c r="A2" s="133"/>
      <c r="B2" s="133"/>
      <c r="C2" s="133"/>
      <c r="D2" s="133"/>
      <c r="E2" s="133"/>
      <c r="F2" s="133"/>
      <c r="G2" s="133"/>
    </row>
    <row r="3" spans="1:9" ht="18.5" x14ac:dyDescent="0.45">
      <c r="A3" s="327" t="s">
        <v>91</v>
      </c>
      <c r="B3" s="327"/>
      <c r="C3" s="327"/>
      <c r="D3" s="327"/>
      <c r="E3" s="327"/>
      <c r="F3" s="327"/>
      <c r="G3" s="327"/>
    </row>
    <row r="4" spans="1:9" s="109" customFormat="1" ht="29.5" thickBot="1" x14ac:dyDescent="0.4">
      <c r="A4" s="134" t="s">
        <v>46</v>
      </c>
      <c r="B4" s="135" t="s">
        <v>88</v>
      </c>
      <c r="C4" s="134" t="s">
        <v>103</v>
      </c>
      <c r="D4" s="134" t="s">
        <v>120</v>
      </c>
      <c r="E4" s="134" t="s">
        <v>122</v>
      </c>
      <c r="F4" s="134" t="s">
        <v>121</v>
      </c>
      <c r="G4" s="134" t="s">
        <v>160</v>
      </c>
    </row>
    <row r="5" spans="1:9" x14ac:dyDescent="0.35">
      <c r="A5" s="137">
        <f>IF($A$12-0.007&gt;0,$A$12-0.007,"-")</f>
        <v>3.0000000000000001E-3</v>
      </c>
      <c r="B5" s="138">
        <f>IF(A5="-","-",Budget!$C$86)</f>
        <v>1049999.9999999998</v>
      </c>
      <c r="C5" s="139">
        <f>IF(A5="-","-",Budget!$E$86)</f>
        <v>130199.99999999999</v>
      </c>
      <c r="D5" s="140">
        <f>IF(A5="-","-",$D$12-(($A$12-A5)*Budget!$E$5))</f>
        <v>27795</v>
      </c>
      <c r="E5" s="140">
        <f t="shared" ref="E5:E10" si="0">IF(A5="-","-",C5-D5)</f>
        <v>102404.99999999999</v>
      </c>
      <c r="F5" s="141">
        <f t="shared" ref="F5:F10" si="1">IF(A5="-","-",D5/B5)</f>
        <v>2.6471428571428576E-2</v>
      </c>
      <c r="G5" s="118">
        <f>IF(A5="-","-",(D5/(((Budget!$C$83/Budget!$C$86)*Budget!$D$83)+((Budget!$C$84/Budget!$C$86)*Budget!$D$84)+((Budget!$C$85/Budget!$C$86)*Budget!$D$85)))*(1/Budget!$C$88))</f>
        <v>0.11207661290322578</v>
      </c>
    </row>
    <row r="6" spans="1:9" x14ac:dyDescent="0.35">
      <c r="A6" s="137">
        <f>IF($A$12-0.006&gt;0,$A$12-0.006,"-")</f>
        <v>4.0000000000000001E-3</v>
      </c>
      <c r="B6" s="138">
        <f>IF(A6="-","-",Budget!$C$86)</f>
        <v>1049999.9999999998</v>
      </c>
      <c r="C6" s="139">
        <f>IF(A6="-","-",Budget!$E$86)</f>
        <v>130199.99999999999</v>
      </c>
      <c r="D6" s="140">
        <f>IF(A6="-","-",$D$12-(($A$12-A6)*Budget!$E$5))</f>
        <v>29795</v>
      </c>
      <c r="E6" s="140">
        <f t="shared" si="0"/>
        <v>100404.99999999999</v>
      </c>
      <c r="F6" s="141">
        <f t="shared" si="1"/>
        <v>2.8376190476190482E-2</v>
      </c>
      <c r="G6" s="118">
        <f>IF(A6="-","-",(D6/(((Budget!$C$83/Budget!$C$86)*Budget!$D$83)+((Budget!$C$84/Budget!$C$86)*Budget!$D$84)+((Budget!$C$85/Budget!$C$86)*Budget!$D$85)))*(1/Budget!$C$88))</f>
        <v>0.12014112903225804</v>
      </c>
    </row>
    <row r="7" spans="1:9" x14ac:dyDescent="0.35">
      <c r="A7" s="137">
        <f>IF($A$12-0.005&gt;0,$A$12-0.005,"-")</f>
        <v>5.0000000000000001E-3</v>
      </c>
      <c r="B7" s="138">
        <f>IF(A7="-","-",Budget!$C$86)</f>
        <v>1049999.9999999998</v>
      </c>
      <c r="C7" s="139">
        <f>IF(A7="-","-",Budget!$E$86)</f>
        <v>130199.99999999999</v>
      </c>
      <c r="D7" s="140">
        <f>IF(A7="-","-",$D$12-(($A$12-A7)*Budget!$E$5))</f>
        <v>31795</v>
      </c>
      <c r="E7" s="140">
        <f t="shared" si="0"/>
        <v>98404.999999999985</v>
      </c>
      <c r="F7" s="141">
        <f t="shared" si="1"/>
        <v>3.0280952380952388E-2</v>
      </c>
      <c r="G7" s="118">
        <f>IF(A7="-","-",(D7/(((Budget!$C$83/Budget!$C$86)*Budget!$D$83)+((Budget!$C$84/Budget!$C$86)*Budget!$D$84)+((Budget!$C$85/Budget!$C$86)*Budget!$D$85)))*(1/Budget!$C$88))</f>
        <v>0.12820564516129029</v>
      </c>
    </row>
    <row r="8" spans="1:9" x14ac:dyDescent="0.35">
      <c r="A8" s="137">
        <f>IF($A$12-0.004&gt;0,$A$12-0.004,"-")</f>
        <v>6.0000000000000001E-3</v>
      </c>
      <c r="B8" s="138">
        <f>IF(A8="-","-",Budget!$C$86)</f>
        <v>1049999.9999999998</v>
      </c>
      <c r="C8" s="139">
        <f>IF(A8="-","-",Budget!$E$86)</f>
        <v>130199.99999999999</v>
      </c>
      <c r="D8" s="140">
        <f>IF(A8="-","-",$D$12-(($A$12-A8)*Budget!$E$5))</f>
        <v>33795</v>
      </c>
      <c r="E8" s="140">
        <f t="shared" si="0"/>
        <v>96404.999999999985</v>
      </c>
      <c r="F8" s="141">
        <f t="shared" si="1"/>
        <v>3.218571428571429E-2</v>
      </c>
      <c r="G8" s="118">
        <f>IF(A8="-","-",(D8/(((Budget!$C$83/Budget!$C$86)*Budget!$D$83)+((Budget!$C$84/Budget!$C$86)*Budget!$D$84)+((Budget!$C$85/Budget!$C$86)*Budget!$D$85)))*(1/Budget!$C$88))</f>
        <v>0.13627016129032257</v>
      </c>
    </row>
    <row r="9" spans="1:9" x14ac:dyDescent="0.35">
      <c r="A9" s="137">
        <f>IF($A$12-0.003&gt;0,$A$12-0.003,"-")</f>
        <v>7.0000000000000001E-3</v>
      </c>
      <c r="B9" s="138">
        <f>IF(A9="-","-",Budget!$C$86)</f>
        <v>1049999.9999999998</v>
      </c>
      <c r="C9" s="139">
        <f>IF(A9="-","-",Budget!$E$86)</f>
        <v>130199.99999999999</v>
      </c>
      <c r="D9" s="140">
        <f>IF(A9="-","-",$D$12-(($A$12-A9)*Budget!$E$5))</f>
        <v>35795</v>
      </c>
      <c r="E9" s="140">
        <f t="shared" si="0"/>
        <v>94404.999999999985</v>
      </c>
      <c r="F9" s="141">
        <f t="shared" si="1"/>
        <v>3.4090476190476199E-2</v>
      </c>
      <c r="G9" s="118">
        <f>IF(A9="-","-",(D9/(((Budget!$C$83/Budget!$C$86)*Budget!$D$83)+((Budget!$C$84/Budget!$C$86)*Budget!$D$84)+((Budget!$C$85/Budget!$C$86)*Budget!$D$85)))*(1/Budget!$C$88))</f>
        <v>0.14433467741935482</v>
      </c>
    </row>
    <row r="10" spans="1:9" x14ac:dyDescent="0.35">
      <c r="A10" s="137">
        <f>IF($A$12-0.002&gt;0,$A$12-0.002,"-")</f>
        <v>8.0000000000000002E-3</v>
      </c>
      <c r="B10" s="138">
        <f>IF(A10="-","-",Budget!$C$86)</f>
        <v>1049999.9999999998</v>
      </c>
      <c r="C10" s="139">
        <f>IF(A10="-","-",Budget!$E$86)</f>
        <v>130199.99999999999</v>
      </c>
      <c r="D10" s="140">
        <f>IF(A10="-","-",$D$12-(($A$12-A10)*Budget!$E$5))</f>
        <v>37795</v>
      </c>
      <c r="E10" s="140">
        <f t="shared" si="0"/>
        <v>92404.999999999985</v>
      </c>
      <c r="F10" s="141">
        <f t="shared" si="1"/>
        <v>3.5995238095238101E-2</v>
      </c>
      <c r="G10" s="118">
        <f>IF(A10="-","-",(D10/(((Budget!$C$83/Budget!$C$86)*Budget!$D$83)+((Budget!$C$84/Budget!$C$86)*Budget!$D$84)+((Budget!$C$85/Budget!$C$86)*Budget!$D$85)))*(1/Budget!$C$88))</f>
        <v>0.15239919354838707</v>
      </c>
    </row>
    <row r="11" spans="1:9" x14ac:dyDescent="0.35">
      <c r="A11" s="137">
        <f>IF($A$12-0.001&gt;0,$A$12-0.001,"-")</f>
        <v>9.0000000000000011E-3</v>
      </c>
      <c r="B11" s="138">
        <f>IF(A11="-","-",Budget!$C$86)</f>
        <v>1049999.9999999998</v>
      </c>
      <c r="C11" s="139">
        <f>IF(A11="-","-",Budget!$E$86)</f>
        <v>130199.99999999999</v>
      </c>
      <c r="D11" s="140">
        <f>IF(A11="-","-",$D$12-(($A$12-A11)*Budget!$E$5))</f>
        <v>39795</v>
      </c>
      <c r="E11" s="140">
        <f>IF(A11="-","-",C11-D11)</f>
        <v>90404.999999999985</v>
      </c>
      <c r="F11" s="141">
        <f>IF(A11="-","-",D11/B11)</f>
        <v>3.790000000000001E-2</v>
      </c>
      <c r="G11" s="118">
        <f>IF(A11="-","-",(D11/(((Budget!$C$83/Budget!$C$86)*Budget!$D$83)+((Budget!$C$84/Budget!$C$86)*Budget!$D$84)+((Budget!$C$85/Budget!$C$86)*Budget!$D$85)))*(1/Budget!$C$88))</f>
        <v>0.16046370967741933</v>
      </c>
    </row>
    <row r="12" spans="1:9" x14ac:dyDescent="0.35">
      <c r="A12" s="142">
        <f>Budget!H5</f>
        <v>0.01</v>
      </c>
      <c r="B12" s="143">
        <f>Budget!$C$86</f>
        <v>1049999.9999999998</v>
      </c>
      <c r="C12" s="132">
        <f>Budget!$E$86</f>
        <v>130199.99999999999</v>
      </c>
      <c r="D12" s="132">
        <f>(Budget!$E$109-Budget!$E$106)</f>
        <v>41795</v>
      </c>
      <c r="E12" s="132">
        <f>Budget!$E$113</f>
        <v>88404.999999999985</v>
      </c>
      <c r="F12" s="142">
        <f>Budget!$E$114</f>
        <v>3.9804761904761912E-2</v>
      </c>
      <c r="G12" s="144">
        <f>Budget!$E$115</f>
        <v>0.1685282258064516</v>
      </c>
      <c r="I12" s="168"/>
    </row>
    <row r="13" spans="1:9" x14ac:dyDescent="0.35">
      <c r="A13" s="137">
        <f>IF($A$12+0.001&gt;0,$A$12+0.001,"-")</f>
        <v>1.0999999999999999E-2</v>
      </c>
      <c r="B13" s="138">
        <f>IF(A13="-","-",Budget!$C$86)</f>
        <v>1049999.9999999998</v>
      </c>
      <c r="C13" s="139">
        <f>IF(A13="-","-",Budget!$E$86)</f>
        <v>130199.99999999999</v>
      </c>
      <c r="D13" s="140">
        <f>IF(A13="-","-",$D$12-(($A$12-A13)*Budget!$E$5))</f>
        <v>43795</v>
      </c>
      <c r="E13" s="140">
        <f>IF(A13="-","-",C13-D13)</f>
        <v>86404.999999999985</v>
      </c>
      <c r="F13" s="141">
        <f>IF(A13="-","-",D13/B13)</f>
        <v>4.1709523809523821E-2</v>
      </c>
      <c r="G13" s="118">
        <f>IF(A13="-","-",(D13/(((Budget!$C$83/Budget!$C$86)*Budget!$D$83)+((Budget!$C$84/Budget!$C$86)*Budget!$D$84)+((Budget!$C$85/Budget!$C$86)*Budget!$D$85)))*(1/Budget!$C$88))</f>
        <v>0.17659274193548385</v>
      </c>
    </row>
    <row r="14" spans="1:9" x14ac:dyDescent="0.35">
      <c r="A14" s="137">
        <f>IF($A$12+0.002&gt;0,$A$12+0.002,"-")</f>
        <v>1.2E-2</v>
      </c>
      <c r="B14" s="138">
        <f>IF(A14="-","-",Budget!$C$86)</f>
        <v>1049999.9999999998</v>
      </c>
      <c r="C14" s="139">
        <f>IF(A14="-","-",Budget!$E$86)</f>
        <v>130199.99999999999</v>
      </c>
      <c r="D14" s="140">
        <f>IF(A14="-","-",$D$12-(($A$12-A14)*Budget!$E$5))</f>
        <v>45795</v>
      </c>
      <c r="E14" s="140">
        <f t="shared" ref="E14:E19" si="2">IF(A14="-","-",C14-D14)</f>
        <v>84404.999999999985</v>
      </c>
      <c r="F14" s="141">
        <f t="shared" ref="F14:F19" si="3">IF(A14="-","-",D14/B14)</f>
        <v>4.3614285714285723E-2</v>
      </c>
      <c r="G14" s="118">
        <f>IF(A14="-","-",(D14/(((Budget!$C$83/Budget!$C$86)*Budget!$D$83)+((Budget!$C$84/Budget!$C$86)*Budget!$D$84)+((Budget!$C$85/Budget!$C$86)*Budget!$D$85)))*(1/Budget!$C$88))</f>
        <v>0.18465725806451611</v>
      </c>
    </row>
    <row r="15" spans="1:9" x14ac:dyDescent="0.35">
      <c r="A15" s="137">
        <f>IF($A$12+0.003&gt;0,$A$12+0.003,"-")</f>
        <v>1.3000000000000001E-2</v>
      </c>
      <c r="B15" s="138">
        <f>IF(A15="-","-",Budget!$C$86)</f>
        <v>1049999.9999999998</v>
      </c>
      <c r="C15" s="139">
        <f>IF(A15="-","-",Budget!$E$86)</f>
        <v>130199.99999999999</v>
      </c>
      <c r="D15" s="140">
        <f>IF(A15="-","-",$D$12-(($A$12-A15)*Budget!$E$5))</f>
        <v>47795</v>
      </c>
      <c r="E15" s="140">
        <f t="shared" si="2"/>
        <v>82404.999999999985</v>
      </c>
      <c r="F15" s="141">
        <f t="shared" si="3"/>
        <v>4.5519047619047633E-2</v>
      </c>
      <c r="G15" s="118">
        <f>IF(A15="-","-",(D15/(((Budget!$C$83/Budget!$C$86)*Budget!$D$83)+((Budget!$C$84/Budget!$C$86)*Budget!$D$84)+((Budget!$C$85/Budget!$C$86)*Budget!$D$85)))*(1/Budget!$C$88))</f>
        <v>0.19272177419354836</v>
      </c>
    </row>
    <row r="16" spans="1:9" x14ac:dyDescent="0.35">
      <c r="A16" s="137">
        <f>IF($A$12+0.004&gt;0,$A$12+0.004,"-")</f>
        <v>1.4E-2</v>
      </c>
      <c r="B16" s="138">
        <f>IF(A16="-","-",Budget!$C$86)</f>
        <v>1049999.9999999998</v>
      </c>
      <c r="C16" s="139">
        <f>IF(A16="-","-",Budget!$E$86)</f>
        <v>130199.99999999999</v>
      </c>
      <c r="D16" s="140">
        <f>IF(A16="-","-",$D$12-(($A$12-A16)*Budget!$E$5))</f>
        <v>49795</v>
      </c>
      <c r="E16" s="140">
        <f t="shared" si="2"/>
        <v>80404.999999999985</v>
      </c>
      <c r="F16" s="141">
        <f t="shared" si="3"/>
        <v>4.7423809523809535E-2</v>
      </c>
      <c r="G16" s="118">
        <f>IF(A16="-","-",(D16/(((Budget!$C$83/Budget!$C$86)*Budget!$D$83)+((Budget!$C$84/Budget!$C$86)*Budget!$D$84)+((Budget!$C$85/Budget!$C$86)*Budget!$D$85)))*(1/Budget!$C$88))</f>
        <v>0.20078629032258064</v>
      </c>
    </row>
    <row r="17" spans="1:7" x14ac:dyDescent="0.35">
      <c r="A17" s="137">
        <f>IF($A$12+0.005&gt;0,$A$12+0.005,"-")</f>
        <v>1.4999999999999999E-2</v>
      </c>
      <c r="B17" s="138">
        <f>IF(A17="-","-",Budget!$C$86)</f>
        <v>1049999.9999999998</v>
      </c>
      <c r="C17" s="139">
        <f>IF(A17="-","-",Budget!$E$86)</f>
        <v>130199.99999999999</v>
      </c>
      <c r="D17" s="140">
        <f>IF(A17="-","-",$D$12-(($A$12-A17)*Budget!$E$5))</f>
        <v>51795</v>
      </c>
      <c r="E17" s="140">
        <f t="shared" si="2"/>
        <v>78404.999999999985</v>
      </c>
      <c r="F17" s="141">
        <f t="shared" si="3"/>
        <v>4.9328571428571437E-2</v>
      </c>
      <c r="G17" s="118">
        <f>IF(A17="-","-",(D17/(((Budget!$C$83/Budget!$C$86)*Budget!$D$83)+((Budget!$C$84/Budget!$C$86)*Budget!$D$84)+((Budget!$C$85/Budget!$C$86)*Budget!$D$85)))*(1/Budget!$C$88))</f>
        <v>0.20885080645161286</v>
      </c>
    </row>
    <row r="18" spans="1:7" x14ac:dyDescent="0.35">
      <c r="A18" s="137">
        <f>IF($A$12+0.006&gt;0,$A$12+0.006,"-")</f>
        <v>1.6E-2</v>
      </c>
      <c r="B18" s="138">
        <f>IF(A18="-","-",Budget!$C$86)</f>
        <v>1049999.9999999998</v>
      </c>
      <c r="C18" s="139">
        <f>IF(A18="-","-",Budget!$E$86)</f>
        <v>130199.99999999999</v>
      </c>
      <c r="D18" s="140">
        <f>IF(A18="-","-",$D$12-(($A$12-A18)*Budget!$E$5))</f>
        <v>53795</v>
      </c>
      <c r="E18" s="140">
        <f t="shared" si="2"/>
        <v>76404.999999999985</v>
      </c>
      <c r="F18" s="141">
        <f t="shared" si="3"/>
        <v>5.1233333333333346E-2</v>
      </c>
      <c r="G18" s="118">
        <f>IF(A18="-","-",(D18/(((Budget!$C$83/Budget!$C$86)*Budget!$D$83)+((Budget!$C$84/Budget!$C$86)*Budget!$D$84)+((Budget!$C$85/Budget!$C$86)*Budget!$D$85)))*(1/Budget!$C$88))</f>
        <v>0.21691532258064514</v>
      </c>
    </row>
    <row r="19" spans="1:7" x14ac:dyDescent="0.35">
      <c r="A19" s="137">
        <f>IF($A$12+0.007&gt;0,$A$12+0.007,"-")</f>
        <v>1.7000000000000001E-2</v>
      </c>
      <c r="B19" s="138">
        <f>IF(A19="-","-",Budget!$C$86)</f>
        <v>1049999.9999999998</v>
      </c>
      <c r="C19" s="139">
        <f>IF(A19="-","-",Budget!$E$86)</f>
        <v>130199.99999999999</v>
      </c>
      <c r="D19" s="140">
        <f>IF(A19="-","-",$D$12-(($A$12-A19)*Budget!$E$5))</f>
        <v>55795</v>
      </c>
      <c r="E19" s="140">
        <f t="shared" si="2"/>
        <v>74404.999999999985</v>
      </c>
      <c r="F19" s="141">
        <f t="shared" si="3"/>
        <v>5.3138095238095248E-2</v>
      </c>
      <c r="G19" s="118">
        <f>IF(A19="-","-",(D19/(((Budget!$C$83/Budget!$C$86)*Budget!$D$83)+((Budget!$C$84/Budget!$C$86)*Budget!$D$84)+((Budget!$C$85/Budget!$C$86)*Budget!$D$85)))*(1/Budget!$C$88))</f>
        <v>0.22497983870967739</v>
      </c>
    </row>
    <row r="22" spans="1:7" ht="18.5" x14ac:dyDescent="0.45">
      <c r="A22" s="327" t="s">
        <v>124</v>
      </c>
      <c r="B22" s="327"/>
      <c r="C22" s="327"/>
      <c r="D22" s="327"/>
      <c r="E22" s="327"/>
      <c r="F22" s="327"/>
      <c r="G22" s="327"/>
    </row>
    <row r="23" spans="1:7" ht="29.5" thickBot="1" x14ac:dyDescent="0.4">
      <c r="A23" s="134" t="s">
        <v>124</v>
      </c>
      <c r="B23" s="135" t="s">
        <v>88</v>
      </c>
      <c r="C23" s="134" t="s">
        <v>103</v>
      </c>
      <c r="D23" s="134" t="s">
        <v>120</v>
      </c>
      <c r="E23" s="134" t="s">
        <v>122</v>
      </c>
      <c r="F23" s="134" t="s">
        <v>121</v>
      </c>
      <c r="G23" s="134" t="s">
        <v>134</v>
      </c>
    </row>
    <row r="24" spans="1:7" x14ac:dyDescent="0.35">
      <c r="A24" s="150">
        <f>IF(AND(MROUND($A$31-0.35,0.05)&gt;0,MROUND($A$31-0.35,0.05)&lt;1),MROUND($A$31-0.35,0.05),"-")</f>
        <v>0.2</v>
      </c>
      <c r="B24" s="138">
        <f>IF(A24="-","-",Budget!$E$5*'Cash Cost Sensitivities (1)'!A24)</f>
        <v>400000</v>
      </c>
      <c r="C24" s="140">
        <f>IF(A24="-","-",((B24*Budget!$E$13*Budget!$H$7)+(B24*Budget!$E$14*Budget!$H$8)+(B24*Budget!$E$15*Budget!$H$9)))</f>
        <v>49600</v>
      </c>
      <c r="D24" s="140">
        <f>IF(A24="-","-",Budget!$E$109-Budget!$E$106)</f>
        <v>41795</v>
      </c>
      <c r="E24" s="140">
        <f t="shared" ref="E24:E29" si="4">IF(A24="-","-",C24-D24)</f>
        <v>7805</v>
      </c>
      <c r="F24" s="141">
        <f t="shared" ref="F24:F29" si="5">IF(A24="-","-",D24/B24)</f>
        <v>0.1044875</v>
      </c>
      <c r="G24" s="118">
        <f>IF(A24="-","-",(D24/(((Budget!$C$83/Budget!$C$86)*Budget!$D$83)+((Budget!$C$84/Budget!$C$86)*Budget!$D$84)+((Budget!$C$85/Budget!$C$86)*Budget!$D$85)))*(1/Budget!$C$88))</f>
        <v>0.1685282258064516</v>
      </c>
    </row>
    <row r="25" spans="1:7" x14ac:dyDescent="0.35">
      <c r="A25" s="150">
        <f>IF(AND(MROUND($A$31-0.3,0.05)&gt;0,MROUND($A$31-0.3,0.05)&lt;1),MROUND($A$31-0.3,0.05),"-")</f>
        <v>0.25</v>
      </c>
      <c r="B25" s="138">
        <f>IF(A25="-","-",Budget!$E$5*'Cash Cost Sensitivities (1)'!A25)</f>
        <v>500000</v>
      </c>
      <c r="C25" s="140">
        <f>IF(A25="-","-",((B25*Budget!$E$13*Budget!$H$7)+(B25*Budget!$E$14*Budget!$H$8)+(B25*Budget!$E$15*Budget!$H$9)))</f>
        <v>62000</v>
      </c>
      <c r="D25" s="140">
        <f>IF(A25="-","-",Budget!$E$109-Budget!$E$106)</f>
        <v>41795</v>
      </c>
      <c r="E25" s="140">
        <f t="shared" si="4"/>
        <v>20205</v>
      </c>
      <c r="F25" s="141">
        <f t="shared" si="5"/>
        <v>8.3589999999999998E-2</v>
      </c>
      <c r="G25" s="118">
        <f>IF(A25="-","-",(D25/(((Budget!$C$83/Budget!$C$86)*Budget!$D$83)+((Budget!$C$84/Budget!$C$86)*Budget!$D$84)+((Budget!$C$85/Budget!$C$86)*Budget!$D$85)))*(1/Budget!$C$88))</f>
        <v>0.1685282258064516</v>
      </c>
    </row>
    <row r="26" spans="1:7" x14ac:dyDescent="0.35">
      <c r="A26" s="150">
        <f>IF(AND(MROUND($A$31-0.25,0.05)&gt;0,MROUND($A$31-0.25,0.05)&lt;1),MROUND($A$31-0.25,0.05),"-")</f>
        <v>0.30000000000000004</v>
      </c>
      <c r="B26" s="138">
        <f>IF(A26="-","-",Budget!$E$5*'Cash Cost Sensitivities (1)'!A26)</f>
        <v>600000.00000000012</v>
      </c>
      <c r="C26" s="140">
        <f>IF(A26="-","-",((B26*Budget!$E$13*Budget!$H$7)+(B26*Budget!$E$14*Budget!$H$8)+(B26*Budget!$E$15*Budget!$H$9)))</f>
        <v>74400.000000000015</v>
      </c>
      <c r="D26" s="140">
        <f>IF(A26="-","-",Budget!$E$109-Budget!$E$106)</f>
        <v>41795</v>
      </c>
      <c r="E26" s="140">
        <f t="shared" si="4"/>
        <v>32605.000000000015</v>
      </c>
      <c r="F26" s="141">
        <f t="shared" si="5"/>
        <v>6.9658333333333322E-2</v>
      </c>
      <c r="G26" s="118">
        <f>IF(A26="-","-",(D26/(((Budget!$C$83/Budget!$C$86)*Budget!$D$83)+((Budget!$C$84/Budget!$C$86)*Budget!$D$84)+((Budget!$C$85/Budget!$C$86)*Budget!$D$85)))*(1/Budget!$C$88))</f>
        <v>0.1685282258064516</v>
      </c>
    </row>
    <row r="27" spans="1:7" x14ac:dyDescent="0.35">
      <c r="A27" s="150">
        <f>IF(AND(MROUND($A$31-0.2,0.05)&gt;0,MROUND($A$31-0.2,0.05)&lt;1),MROUND($A$31-0.2,0.05),"-")</f>
        <v>0.35000000000000003</v>
      </c>
      <c r="B27" s="138">
        <f>IF(A27="-","-",Budget!$E$5*'Cash Cost Sensitivities (1)'!A27)</f>
        <v>700000.00000000012</v>
      </c>
      <c r="C27" s="140">
        <f>IF(A27="-","-",((B27*Budget!$E$13*Budget!$H$7)+(B27*Budget!$E$14*Budget!$H$8)+(B27*Budget!$E$15*Budget!$H$9)))</f>
        <v>86800.000000000015</v>
      </c>
      <c r="D27" s="140">
        <f>IF(A27="-","-",Budget!$E$109-Budget!$E$106)</f>
        <v>41795</v>
      </c>
      <c r="E27" s="140">
        <f t="shared" si="4"/>
        <v>45005.000000000015</v>
      </c>
      <c r="F27" s="141">
        <f t="shared" si="5"/>
        <v>5.9707142857142848E-2</v>
      </c>
      <c r="G27" s="118">
        <f>IF(A27="-","-",(D27/(((Budget!$C$83/Budget!$C$86)*Budget!$D$83)+((Budget!$C$84/Budget!$C$86)*Budget!$D$84)+((Budget!$C$85/Budget!$C$86)*Budget!$D$85)))*(1/Budget!$C$88))</f>
        <v>0.1685282258064516</v>
      </c>
    </row>
    <row r="28" spans="1:7" x14ac:dyDescent="0.35">
      <c r="A28" s="150">
        <f>IF(AND(MROUND($A$31-0.15,0.05)&gt;0,MROUND($A$31-0.15,0.05)&lt;1),MROUND($A$31-0.15,0.05),"-")</f>
        <v>0.4</v>
      </c>
      <c r="B28" s="138">
        <f>IF(A28="-","-",Budget!$E$5*'Cash Cost Sensitivities (1)'!A28)</f>
        <v>800000</v>
      </c>
      <c r="C28" s="140">
        <f>IF(A28="-","-",((B28*Budget!$E$13*Budget!$H$7)+(B28*Budget!$E$14*Budget!$H$8)+(B28*Budget!$E$15*Budget!$H$9)))</f>
        <v>99200</v>
      </c>
      <c r="D28" s="140">
        <f>IF(A28="-","-",Budget!$E$109-Budget!$E$106)</f>
        <v>41795</v>
      </c>
      <c r="E28" s="140">
        <f t="shared" si="4"/>
        <v>57405</v>
      </c>
      <c r="F28" s="141">
        <f t="shared" si="5"/>
        <v>5.2243749999999999E-2</v>
      </c>
      <c r="G28" s="118">
        <f>IF(A28="-","-",(D28/(((Budget!$C$83/Budget!$C$86)*Budget!$D$83)+((Budget!$C$84/Budget!$C$86)*Budget!$D$84)+((Budget!$C$85/Budget!$C$86)*Budget!$D$85)))*(1/Budget!$C$88))</f>
        <v>0.1685282258064516</v>
      </c>
    </row>
    <row r="29" spans="1:7" x14ac:dyDescent="0.35">
      <c r="A29" s="150">
        <f>IF(AND(MROUND($A$31-0.1,0.05)&gt;0,MROUND($A$31-0.1,0.05)&lt;1),MROUND($A$31-0.1,0.05),"-")</f>
        <v>0.45</v>
      </c>
      <c r="B29" s="138">
        <f>IF(A29="-","-",Budget!$E$5*'Cash Cost Sensitivities (1)'!A29)</f>
        <v>900000</v>
      </c>
      <c r="C29" s="140">
        <f>IF(A29="-","-",((B29*Budget!$E$13*Budget!$H$7)+(B29*Budget!$E$14*Budget!$H$8)+(B29*Budget!$E$15*Budget!$H$9)))</f>
        <v>111600</v>
      </c>
      <c r="D29" s="140">
        <f>IF(A29="-","-",Budget!$E$109-Budget!$E$106)</f>
        <v>41795</v>
      </c>
      <c r="E29" s="140">
        <f t="shared" si="4"/>
        <v>69805</v>
      </c>
      <c r="F29" s="141">
        <f t="shared" si="5"/>
        <v>4.6438888888888891E-2</v>
      </c>
      <c r="G29" s="118">
        <f>IF(A29="-","-",(D29/(((Budget!$C$83/Budget!$C$86)*Budget!$D$83)+((Budget!$C$84/Budget!$C$86)*Budget!$D$84)+((Budget!$C$85/Budget!$C$86)*Budget!$D$85)))*(1/Budget!$C$88))</f>
        <v>0.1685282258064516</v>
      </c>
    </row>
    <row r="30" spans="1:7" x14ac:dyDescent="0.35">
      <c r="A30" s="150">
        <f>IF(AND(MROUND($A$31-0.05,0.05)&gt;0,MROUND($A$31-0.05,0.05)&lt;1),MROUND($A$31-0.05,0.05),"-")</f>
        <v>0.5</v>
      </c>
      <c r="B30" s="138">
        <f>IF(A30="-","-",Budget!$E$5*'Cash Cost Sensitivities (1)'!A30)</f>
        <v>1000000</v>
      </c>
      <c r="C30" s="140">
        <f>IF(A30="-","-",((B30*Budget!$E$13*Budget!$H$7)+(B30*Budget!$E$14*Budget!$H$8)+(B30*Budget!$E$15*Budget!$H$9)))</f>
        <v>124000</v>
      </c>
      <c r="D30" s="140">
        <f>IF(A30="-","-",Budget!$E$109-Budget!$E$106)</f>
        <v>41795</v>
      </c>
      <c r="E30" s="140">
        <f>IF(A30="-","-",C30-D30)</f>
        <v>82205</v>
      </c>
      <c r="F30" s="141">
        <f>IF(A30="-","-",D30/B30)</f>
        <v>4.1794999999999999E-2</v>
      </c>
      <c r="G30" s="118">
        <f>IF(A30="-","-",(D30/(((Budget!$C$83/Budget!$C$86)*Budget!$D$83)+((Budget!$C$84/Budget!$C$86)*Budget!$D$84)+((Budget!$C$85/Budget!$C$86)*Budget!$D$85)))*(1/Budget!$C$88))</f>
        <v>0.1685282258064516</v>
      </c>
    </row>
    <row r="31" spans="1:7" x14ac:dyDescent="0.35">
      <c r="A31" s="150">
        <f>Budget!$E$11</f>
        <v>0.52499999999999991</v>
      </c>
      <c r="B31" s="143">
        <f>Budget!$C$86</f>
        <v>1049999.9999999998</v>
      </c>
      <c r="C31" s="132">
        <f>Budget!$E$86</f>
        <v>130199.99999999999</v>
      </c>
      <c r="D31" s="132">
        <f>Budget!$E$109-Budget!$E$106</f>
        <v>41795</v>
      </c>
      <c r="E31" s="132">
        <f>Budget!$E$113</f>
        <v>88404.999999999985</v>
      </c>
      <c r="F31" s="142">
        <f>Budget!$E$114</f>
        <v>3.9804761904761912E-2</v>
      </c>
      <c r="G31" s="144">
        <f>Budget!$E$115</f>
        <v>0.1685282258064516</v>
      </c>
    </row>
    <row r="32" spans="1:7" x14ac:dyDescent="0.35">
      <c r="A32" s="150">
        <f>IF(AND(MROUND($A$31+0.05,0.05)&gt;0,MROUND($A$31+0.05,0.05)&lt;1),MROUND($A$31+0.05,0.05),"-")</f>
        <v>0.60000000000000009</v>
      </c>
      <c r="B32" s="138">
        <f>IF(A32="-","-",Budget!$E$5*'Cash Cost Sensitivities (1)'!A32)</f>
        <v>1200000.0000000002</v>
      </c>
      <c r="C32" s="140">
        <f>IF(A32="-","-",((B32*Budget!$E$13*Budget!$H$7)+(B32*Budget!$E$14*Budget!$H$8)+(B32*Budget!$E$15*Budget!$H$9)))</f>
        <v>148800.00000000003</v>
      </c>
      <c r="D32" s="140">
        <f>IF(A32="-","-",Budget!$E$109-Budget!$E$106)</f>
        <v>41795</v>
      </c>
      <c r="E32" s="140">
        <f>IF(A32="-","-",C32-D32)</f>
        <v>107005.00000000003</v>
      </c>
      <c r="F32" s="141">
        <f>IF(A32="-","-",D32/B32)</f>
        <v>3.4829166666666661E-2</v>
      </c>
      <c r="G32" s="118">
        <f>IF(A32="-","-",(D32/(((Budget!$C$83/Budget!$C$86)*Budget!$D$83)+((Budget!$C$84/Budget!$C$86)*Budget!$D$84)+((Budget!$C$85/Budget!$C$86)*Budget!$D$85)))*(1/Budget!$C$88))</f>
        <v>0.1685282258064516</v>
      </c>
    </row>
    <row r="33" spans="1:7" x14ac:dyDescent="0.35">
      <c r="A33" s="150">
        <f>IF(AND(MROUND($A$31+0.1,0.05)&gt;0,MROUND($A$31+0.1,0.05)&lt;1),MROUND($A$31+0.1,0.05),"-")</f>
        <v>0.65</v>
      </c>
      <c r="B33" s="138">
        <f>IF(A33="-","-",Budget!$E$5*'Cash Cost Sensitivities (1)'!A33)</f>
        <v>1300000</v>
      </c>
      <c r="C33" s="130">
        <f>Budget!$E$86</f>
        <v>130199.99999999999</v>
      </c>
      <c r="D33" s="140">
        <f>IF(A33="-","-",Budget!$E$109-Budget!$E$106)</f>
        <v>41795</v>
      </c>
      <c r="E33" s="140">
        <f t="shared" ref="E33:E38" si="6">IF(A33="-","-",C33-D33)</f>
        <v>88404.999999999985</v>
      </c>
      <c r="F33" s="141">
        <f t="shared" ref="F33:F38" si="7">IF(A33="-","-",D33/B33)</f>
        <v>3.2149999999999998E-2</v>
      </c>
      <c r="G33" s="118">
        <f>IF(A33="-","-",(D33/(((Budget!$C$83/Budget!$C$86)*Budget!$D$83)+((Budget!$C$84/Budget!$C$86)*Budget!$D$84)+((Budget!$C$85/Budget!$C$86)*Budget!$D$85)))*(1/Budget!$C$88))</f>
        <v>0.1685282258064516</v>
      </c>
    </row>
    <row r="34" spans="1:7" s="109" customFormat="1" x14ac:dyDescent="0.35">
      <c r="A34" s="150">
        <f>IF(AND(MROUND($A$31+0.15,0.05)&gt;0,MROUND($A$31+0.15,0.05)&lt;1),MROUND($A$31+0.15,0.05),"-")</f>
        <v>0.70000000000000007</v>
      </c>
      <c r="B34" s="138">
        <f>IF(A34="-","-",Budget!$E$5*'Cash Cost Sensitivities (1)'!A34)</f>
        <v>1400000.0000000002</v>
      </c>
      <c r="C34" s="140">
        <f>IF(A34="-","-",((B34*Budget!$E$13*Budget!$H$7)+(B34*Budget!$E$14*Budget!$H$8)+(B34*Budget!$E$15*Budget!$H$9)))</f>
        <v>173600.00000000003</v>
      </c>
      <c r="D34" s="140">
        <f>IF(A34="-","-",Budget!$E$109-Budget!$E$106)</f>
        <v>41795</v>
      </c>
      <c r="E34" s="140">
        <f t="shared" si="6"/>
        <v>131805.00000000003</v>
      </c>
      <c r="F34" s="141">
        <f t="shared" si="7"/>
        <v>2.9853571428571424E-2</v>
      </c>
      <c r="G34" s="118">
        <f>IF(A34="-","-",(D34/(((Budget!$C$83/Budget!$C$86)*Budget!$D$83)+((Budget!$C$84/Budget!$C$86)*Budget!$D$84)+((Budget!$C$85/Budget!$C$86)*Budget!$D$85)))*(1/Budget!$C$88))</f>
        <v>0.1685282258064516</v>
      </c>
    </row>
    <row r="35" spans="1:7" x14ac:dyDescent="0.35">
      <c r="A35" s="150">
        <f>IF(AND(MROUND($A$31+0.2,0.05)&gt;0,MROUND($A$31+0.2,0.05)&lt;1),MROUND($A$31+0.2,0.05),"-")</f>
        <v>0.75</v>
      </c>
      <c r="B35" s="138">
        <f>IF(A35="-","-",Budget!$E$5*'Cash Cost Sensitivities (1)'!A35)</f>
        <v>1500000</v>
      </c>
      <c r="C35" s="140">
        <f>IF(A35="-","-",((B35*Budget!$E$13*Budget!$H$7)+(B35*Budget!$E$14*Budget!$H$8)+(B35*Budget!$E$15*Budget!$H$9)))</f>
        <v>186000</v>
      </c>
      <c r="D35" s="140">
        <f>IF(A35="-","-",Budget!$E$109-Budget!$E$106)</f>
        <v>41795</v>
      </c>
      <c r="E35" s="140">
        <f t="shared" si="6"/>
        <v>144205</v>
      </c>
      <c r="F35" s="141">
        <f t="shared" si="7"/>
        <v>2.7863333333333334E-2</v>
      </c>
      <c r="G35" s="118">
        <f>IF(A35="-","-",(D35/(((Budget!$C$83/Budget!$C$86)*Budget!$D$83)+((Budget!$C$84/Budget!$C$86)*Budget!$D$84)+((Budget!$C$85/Budget!$C$86)*Budget!$D$85)))*(1/Budget!$C$88))</f>
        <v>0.1685282258064516</v>
      </c>
    </row>
    <row r="36" spans="1:7" x14ac:dyDescent="0.35">
      <c r="A36" s="150">
        <f>IF(AND(MROUND($A$31+0.25,0.05)&gt;0,MROUND($A$31+0.25,0.05)&lt;1),MROUND($A$31+0.25,0.05),"-")</f>
        <v>0.8</v>
      </c>
      <c r="B36" s="138">
        <f>IF(A36="-","-",Budget!$E$5*'Cash Cost Sensitivities (1)'!A36)</f>
        <v>1600000</v>
      </c>
      <c r="C36" s="140">
        <f>IF(A36="-","-",((B36*Budget!$E$13*Budget!$H$7)+(B36*Budget!$E$14*Budget!$H$8)+(B36*Budget!$E$15*Budget!$H$9)))</f>
        <v>198400</v>
      </c>
      <c r="D36" s="140">
        <f>IF(A36="-","-",Budget!$E$109-Budget!$E$106)</f>
        <v>41795</v>
      </c>
      <c r="E36" s="140">
        <f t="shared" si="6"/>
        <v>156605</v>
      </c>
      <c r="F36" s="141">
        <f t="shared" si="7"/>
        <v>2.6121874999999999E-2</v>
      </c>
      <c r="G36" s="118">
        <f>IF(A36="-","-",(D36/(((Budget!$C$83/Budget!$C$86)*Budget!$D$83)+((Budget!$C$84/Budget!$C$86)*Budget!$D$84)+((Budget!$C$85/Budget!$C$86)*Budget!$D$85)))*(1/Budget!$C$88))</f>
        <v>0.1685282258064516</v>
      </c>
    </row>
    <row r="37" spans="1:7" x14ac:dyDescent="0.35">
      <c r="A37" s="150">
        <f>IF(AND(MROUND($A$31+0.3,0.05)&gt;0,MROUND($A$31+0.3,0.05)&lt;1),MROUND($A$31+0.3,0.05),"-")</f>
        <v>0.85000000000000009</v>
      </c>
      <c r="B37" s="138">
        <f>IF(A37="-","-",Budget!$E$5*'Cash Cost Sensitivities (1)'!A37)</f>
        <v>1700000.0000000002</v>
      </c>
      <c r="C37" s="140">
        <f>IF(A37="-","-",((B37*Budget!$E$13*Budget!$H$7)+(B37*Budget!$E$14*Budget!$H$8)+(B37*Budget!$E$15*Budget!$H$9)))</f>
        <v>210800.00000000003</v>
      </c>
      <c r="D37" s="140">
        <f>IF(A37="-","-",Budget!$E$109-Budget!$E$106)</f>
        <v>41795</v>
      </c>
      <c r="E37" s="140">
        <f t="shared" si="6"/>
        <v>169005.00000000003</v>
      </c>
      <c r="F37" s="141">
        <f t="shared" si="7"/>
        <v>2.4585294117647056E-2</v>
      </c>
      <c r="G37" s="118">
        <f>IF(A37="-","-",(D37/(((Budget!$C$83/Budget!$C$86)*Budget!$D$83)+((Budget!$C$84/Budget!$C$86)*Budget!$D$84)+((Budget!$C$85/Budget!$C$86)*Budget!$D$85)))*(1/Budget!$C$88))</f>
        <v>0.1685282258064516</v>
      </c>
    </row>
    <row r="38" spans="1:7" x14ac:dyDescent="0.35">
      <c r="A38" s="150">
        <f>IF(AND(MROUND($A$31+0.35,0.05)&gt;0,MROUND($A$31+0.35,0.05)&lt;1),MROUND($A$31+0.35,0.05),"-")</f>
        <v>0.9</v>
      </c>
      <c r="B38" s="138">
        <f>IF(A38="-","-",Budget!$E$5*'Cash Cost Sensitivities (1)'!A38)</f>
        <v>1800000</v>
      </c>
      <c r="C38" s="140">
        <f>IF(A38="-","-",((B38*Budget!$E$13*Budget!$H$7)+(B38*Budget!$E$14*Budget!$H$8)+(B38*Budget!$E$15*Budget!$H$9)))</f>
        <v>223200</v>
      </c>
      <c r="D38" s="140">
        <f>IF(A38="-","-",Budget!$E$109-Budget!$E$106)</f>
        <v>41795</v>
      </c>
      <c r="E38" s="140">
        <f t="shared" si="6"/>
        <v>181405</v>
      </c>
      <c r="F38" s="141">
        <f t="shared" si="7"/>
        <v>2.3219444444444445E-2</v>
      </c>
      <c r="G38" s="118">
        <f>IF(A38="-","-",(D38/(((Budget!$C$83/Budget!$C$86)*Budget!$D$83)+((Budget!$C$84/Budget!$C$86)*Budget!$D$84)+((Budget!$C$85/Budget!$C$86)*Budget!$D$85)))*(1/Budget!$C$88))</f>
        <v>0.1685282258064516</v>
      </c>
    </row>
    <row r="41" spans="1:7" ht="18.5" x14ac:dyDescent="0.45">
      <c r="A41" s="157"/>
      <c r="B41" s="157"/>
      <c r="C41" s="157"/>
      <c r="D41" s="157"/>
      <c r="E41" s="157"/>
      <c r="F41" s="157"/>
      <c r="G41" s="157"/>
    </row>
    <row r="42" spans="1:7" x14ac:dyDescent="0.35">
      <c r="A42" s="136"/>
      <c r="B42" s="169"/>
      <c r="C42" s="136"/>
      <c r="D42" s="136"/>
      <c r="E42" s="136"/>
      <c r="F42" s="136"/>
      <c r="G42" s="136"/>
    </row>
    <row r="43" spans="1:7" x14ac:dyDescent="0.35">
      <c r="A43" s="170"/>
      <c r="B43" s="171"/>
      <c r="C43" s="172"/>
      <c r="D43" s="172"/>
      <c r="E43" s="172"/>
      <c r="F43" s="173"/>
      <c r="G43" s="174"/>
    </row>
    <row r="44" spans="1:7" x14ac:dyDescent="0.35">
      <c r="A44" s="170"/>
      <c r="B44" s="171"/>
      <c r="C44" s="172"/>
      <c r="D44" s="172"/>
      <c r="E44" s="172"/>
      <c r="F44" s="173"/>
      <c r="G44" s="174"/>
    </row>
    <row r="45" spans="1:7" x14ac:dyDescent="0.35">
      <c r="A45" s="170"/>
      <c r="B45" s="171"/>
      <c r="C45" s="172"/>
      <c r="D45" s="172"/>
      <c r="E45" s="172"/>
      <c r="F45" s="173"/>
      <c r="G45" s="174"/>
    </row>
    <row r="46" spans="1:7" x14ac:dyDescent="0.35">
      <c r="A46" s="170"/>
      <c r="B46" s="171"/>
      <c r="C46" s="172"/>
      <c r="D46" s="172"/>
      <c r="E46" s="172"/>
      <c r="F46" s="173"/>
      <c r="G46" s="174"/>
    </row>
    <row r="47" spans="1:7" x14ac:dyDescent="0.35">
      <c r="A47" s="170"/>
      <c r="B47" s="171"/>
      <c r="C47" s="172"/>
      <c r="D47" s="172"/>
      <c r="E47" s="172"/>
      <c r="F47" s="173"/>
      <c r="G47" s="174"/>
    </row>
    <row r="48" spans="1:7" x14ac:dyDescent="0.35">
      <c r="A48" s="170"/>
      <c r="B48" s="171"/>
      <c r="C48" s="172"/>
      <c r="D48" s="172"/>
      <c r="E48" s="172"/>
      <c r="F48" s="173"/>
      <c r="G48" s="174"/>
    </row>
    <row r="49" spans="1:7" x14ac:dyDescent="0.35">
      <c r="A49" s="170"/>
      <c r="B49" s="171"/>
      <c r="C49" s="172"/>
      <c r="D49" s="172"/>
      <c r="E49" s="172"/>
      <c r="F49" s="173"/>
      <c r="G49" s="174"/>
    </row>
    <row r="50" spans="1:7" x14ac:dyDescent="0.35">
      <c r="A50" s="170"/>
      <c r="B50" s="171"/>
      <c r="C50" s="172"/>
      <c r="D50" s="172"/>
      <c r="E50" s="172"/>
      <c r="F50" s="173"/>
      <c r="G50" s="174"/>
    </row>
    <row r="51" spans="1:7" x14ac:dyDescent="0.35">
      <c r="A51" s="170"/>
      <c r="B51" s="171"/>
      <c r="C51" s="172"/>
      <c r="D51" s="172"/>
      <c r="E51" s="172"/>
      <c r="F51" s="173"/>
      <c r="G51" s="174"/>
    </row>
    <row r="52" spans="1:7" x14ac:dyDescent="0.35">
      <c r="A52" s="170"/>
      <c r="B52" s="171"/>
      <c r="C52" s="172"/>
      <c r="D52" s="172"/>
      <c r="E52" s="172"/>
      <c r="F52" s="173"/>
      <c r="G52" s="174"/>
    </row>
    <row r="53" spans="1:7" x14ac:dyDescent="0.35">
      <c r="A53" s="170"/>
      <c r="B53" s="171"/>
      <c r="C53" s="172"/>
      <c r="D53" s="172"/>
      <c r="E53" s="172"/>
      <c r="F53" s="173"/>
      <c r="G53" s="174"/>
    </row>
    <row r="54" spans="1:7" x14ac:dyDescent="0.35">
      <c r="A54" s="175"/>
      <c r="B54" s="176"/>
      <c r="C54" s="177"/>
      <c r="D54" s="177"/>
      <c r="E54" s="177"/>
      <c r="F54" s="178"/>
      <c r="G54" s="174"/>
    </row>
    <row r="55" spans="1:7" x14ac:dyDescent="0.35">
      <c r="A55" s="170"/>
      <c r="B55" s="171"/>
      <c r="C55" s="172"/>
      <c r="D55" s="172"/>
      <c r="E55" s="172"/>
      <c r="F55" s="173"/>
      <c r="G55" s="174"/>
    </row>
    <row r="56" spans="1:7" x14ac:dyDescent="0.35">
      <c r="A56" s="170"/>
      <c r="B56" s="171"/>
      <c r="C56" s="172"/>
      <c r="D56" s="172"/>
      <c r="E56" s="172"/>
      <c r="F56" s="173"/>
      <c r="G56" s="174"/>
    </row>
    <row r="57" spans="1:7" x14ac:dyDescent="0.35">
      <c r="A57" s="170"/>
      <c r="B57" s="171"/>
      <c r="C57" s="172"/>
      <c r="D57" s="172"/>
      <c r="E57" s="172"/>
      <c r="F57" s="173"/>
      <c r="G57" s="174"/>
    </row>
    <row r="106" spans="1:1" hidden="1" x14ac:dyDescent="0.35">
      <c r="A106" s="179" t="s">
        <v>91</v>
      </c>
    </row>
    <row r="107" spans="1:1" hidden="1" x14ac:dyDescent="0.35">
      <c r="A107" s="179">
        <f>Budget!H5</f>
        <v>0.01</v>
      </c>
    </row>
    <row r="108" spans="1:1" hidden="1" x14ac:dyDescent="0.35">
      <c r="A108" s="179" t="s">
        <v>92</v>
      </c>
    </row>
    <row r="109" spans="1:1" hidden="1" x14ac:dyDescent="0.35">
      <c r="A109" s="180">
        <f>Budget!E11</f>
        <v>0.52499999999999991</v>
      </c>
    </row>
  </sheetData>
  <sheetProtection algorithmName="SHA-512" hashValue="MFVnhyCMSrKFVB+IoxkVwS87v92IkekgSXNnAtV8k4AuZPWwA192cXft8DMqnLNaIMNuGRnCkPHH0o0Vdz0crQ==" saltValue="vOdSIAQIgIbU++teXVvRkw==" spinCount="100000" sheet="1" objects="1" scenarios="1"/>
  <mergeCells count="3">
    <mergeCell ref="A1:G1"/>
    <mergeCell ref="A3:G3"/>
    <mergeCell ref="A22:G22"/>
  </mergeCells>
  <phoneticPr fontId="5" type="noConversion"/>
  <conditionalFormatting sqref="A5:A19">
    <cfRule type="cellIs" dxfId="17" priority="7" stopIfTrue="1" operator="equal">
      <formula>$A$107</formula>
    </cfRule>
  </conditionalFormatting>
  <conditionalFormatting sqref="A24:A38">
    <cfRule type="cellIs" dxfId="16" priority="2" stopIfTrue="1" operator="equal">
      <formula>$A$109</formula>
    </cfRule>
  </conditionalFormatting>
  <conditionalFormatting sqref="A43:A57">
    <cfRule type="cellIs" dxfId="15" priority="4" stopIfTrue="1" operator="equal">
      <formula>$A$109</formula>
    </cfRule>
  </conditionalFormatting>
  <conditionalFormatting sqref="E1:E19">
    <cfRule type="cellIs" dxfId="14" priority="8" stopIfTrue="1" operator="lessThan">
      <formula>0</formula>
    </cfRule>
  </conditionalFormatting>
  <conditionalFormatting sqref="E23:E38">
    <cfRule type="cellIs" dxfId="13" priority="14" stopIfTrue="1" operator="lessThan">
      <formula>0</formula>
    </cfRule>
  </conditionalFormatting>
  <conditionalFormatting sqref="E42:E57">
    <cfRule type="cellIs" dxfId="12" priority="1" stopIfTrue="1" operator="lessThan">
      <formula>0</formula>
    </cfRule>
  </conditionalFormatting>
  <pageMargins left="0.75" right="0.75" top="1" bottom="1" header="0.5" footer="0.5"/>
  <pageSetup orientation="landscape" horizontalDpi="4294967292" verticalDpi="4294967292" r:id="rId1"/>
  <headerFooter alignWithMargins="0"/>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7"/>
  <sheetViews>
    <sheetView topLeftCell="A10" zoomScaleNormal="100" workbookViewId="0">
      <selection activeCell="D9" sqref="D9"/>
    </sheetView>
  </sheetViews>
  <sheetFormatPr defaultColWidth="11" defaultRowHeight="15.5" x14ac:dyDescent="0.35"/>
  <cols>
    <col min="1" max="3" width="11" style="107" customWidth="1"/>
    <col min="4" max="4" width="14.58203125" style="107" customWidth="1"/>
    <col min="5" max="5" width="11" style="107" customWidth="1"/>
    <col min="6" max="6" width="12.08203125" style="107" customWidth="1"/>
    <col min="7" max="7" width="12" style="107" customWidth="1"/>
    <col min="8" max="9" width="15.83203125" style="107" bestFit="1" customWidth="1"/>
    <col min="10" max="16384" width="11" style="107"/>
  </cols>
  <sheetData>
    <row r="1" spans="1:11" ht="21" x14ac:dyDescent="0.5">
      <c r="A1" s="328" t="s">
        <v>125</v>
      </c>
      <c r="B1" s="328"/>
      <c r="C1" s="328"/>
      <c r="D1" s="328"/>
      <c r="E1" s="328"/>
      <c r="F1" s="328"/>
      <c r="G1" s="328"/>
      <c r="H1" s="328"/>
      <c r="I1" s="328"/>
    </row>
    <row r="2" spans="1:11" x14ac:dyDescent="0.35">
      <c r="A2" s="160"/>
      <c r="B2" s="160"/>
      <c r="C2" s="160"/>
      <c r="D2" s="160"/>
      <c r="E2" s="160"/>
      <c r="F2" s="160"/>
      <c r="G2" s="160"/>
      <c r="H2" s="160"/>
      <c r="I2" s="160"/>
    </row>
    <row r="3" spans="1:11" ht="18.5" x14ac:dyDescent="0.45">
      <c r="A3" s="329" t="s">
        <v>47</v>
      </c>
      <c r="B3" s="329"/>
      <c r="C3" s="329"/>
      <c r="D3" s="329"/>
      <c r="E3" s="329"/>
      <c r="F3" s="329"/>
      <c r="G3" s="329"/>
      <c r="H3" s="329"/>
      <c r="I3" s="329"/>
    </row>
    <row r="4" spans="1:11" x14ac:dyDescent="0.35">
      <c r="A4" s="160"/>
      <c r="B4" s="160"/>
      <c r="C4" s="160"/>
      <c r="D4" s="160"/>
      <c r="E4" s="160"/>
      <c r="F4" s="160"/>
      <c r="G4" s="160"/>
      <c r="H4" s="160"/>
      <c r="I4" s="160"/>
    </row>
    <row r="5" spans="1:11" ht="29" x14ac:dyDescent="0.35">
      <c r="A5" s="330" t="s">
        <v>93</v>
      </c>
      <c r="B5" s="330"/>
      <c r="C5" s="330"/>
      <c r="D5" s="161" t="s">
        <v>88</v>
      </c>
      <c r="E5" s="161" t="s">
        <v>103</v>
      </c>
      <c r="F5" s="161" t="s">
        <v>126</v>
      </c>
      <c r="G5" s="161" t="s">
        <v>122</v>
      </c>
      <c r="H5" s="161" t="s">
        <v>121</v>
      </c>
      <c r="I5" s="161" t="s">
        <v>134</v>
      </c>
    </row>
    <row r="6" spans="1:11" ht="16" thickBot="1" x14ac:dyDescent="0.4">
      <c r="A6" s="162" t="s">
        <v>94</v>
      </c>
      <c r="B6" s="162" t="s">
        <v>95</v>
      </c>
      <c r="C6" s="162" t="s">
        <v>96</v>
      </c>
      <c r="D6" s="163"/>
      <c r="E6" s="163"/>
      <c r="F6" s="163"/>
      <c r="G6" s="163"/>
      <c r="H6" s="163"/>
      <c r="I6" s="163"/>
    </row>
    <row r="7" spans="1:11" x14ac:dyDescent="0.35">
      <c r="A7" s="112">
        <f>IF($A$14-0.07&gt;0,$A$14-0.07,"-")</f>
        <v>0.06</v>
      </c>
      <c r="B7" s="112">
        <f>IF($B$14-0.07&gt;0,$B$14-0.07,"-")</f>
        <v>3.9999999999999994E-2</v>
      </c>
      <c r="C7" s="113">
        <f>IF($C$14-0.035&gt;0,$C$14-0.035,"-")</f>
        <v>3.5000000000000003E-2</v>
      </c>
      <c r="D7" s="114">
        <f>IF(OR(A7="-",B7="-",C7="-"),"-",Budget!$C$86)</f>
        <v>1049999.9999999998</v>
      </c>
      <c r="E7" s="114">
        <f>IF(OR(A7="-",B7="-",C7="-"),"-",((D7*Budget!$E$13*A7)+(D7*Budget!$E$14*B7)+(D7*Budget!$E$15*C7)))</f>
        <v>58537.499999999993</v>
      </c>
      <c r="F7" s="115">
        <f>IF(OR(A7="-",B7="-",C7="-"),"-",Budget!$E$109-Budget!$E$106)</f>
        <v>41795</v>
      </c>
      <c r="G7" s="116">
        <f t="shared" ref="G7:G13" si="0">IF(OR(A7="-",B7="-",C7="-"),"-",E7-F7)</f>
        <v>16742.499999999993</v>
      </c>
      <c r="H7" s="117">
        <f t="shared" ref="H7:H12" si="1">IF(OR(A7="-",B7="-",C7="-"),"-",F7/D7)</f>
        <v>3.9804761904761912E-2</v>
      </c>
      <c r="I7" s="118">
        <f>IF(OR(A7="-",B7="-",C7="-"),"-",(F7/(((Budget!$C$83/Budget!$C$86)*A7)+((Budget!$C$84/Budget!$C$86)*B7)+((Budget!$C$85/Budget!$C$86)*C7)))*(1/Budget!$C$88))</f>
        <v>0.37484304932735424</v>
      </c>
    </row>
    <row r="8" spans="1:11" x14ac:dyDescent="0.35">
      <c r="A8" s="112">
        <f>IF($A$14-0.06&gt;0,$A$14-0.06,"-")</f>
        <v>7.0000000000000007E-2</v>
      </c>
      <c r="B8" s="112">
        <f>IF($B$14-0.06&gt;0,$B$14-0.06,"-")</f>
        <v>0.05</v>
      </c>
      <c r="C8" s="113">
        <f>IF($C$14-0.03&gt;0,$C$14-0.03,"-")</f>
        <v>4.0000000000000008E-2</v>
      </c>
      <c r="D8" s="114">
        <f>IF(OR(A8="-",B8="-",C8="-"),"-",Budget!$C$86)</f>
        <v>1049999.9999999998</v>
      </c>
      <c r="E8" s="114">
        <f>IF(OR(A8="-",B8="-",C8="-"),"-",((D8*Budget!$E$13*A8)+(D8*Budget!$E$14*B8)+(D8*Budget!$E$15*C8)))</f>
        <v>68775</v>
      </c>
      <c r="F8" s="115">
        <f>IF(OR(A8="-",B8="-",C8="-"),"-",Budget!$E$109-Budget!$E$106)</f>
        <v>41795</v>
      </c>
      <c r="G8" s="116">
        <f t="shared" si="0"/>
        <v>26980</v>
      </c>
      <c r="H8" s="117">
        <f t="shared" si="1"/>
        <v>3.9804761904761912E-2</v>
      </c>
      <c r="I8" s="118">
        <f>IF(OR(A8="-",B8="-",C8="-"),"-",(F8/(((Budget!$C$83/Budget!$C$86)*A8)+((Budget!$C$84/Budget!$C$86)*B8)+((Budget!$C$85/Budget!$C$86)*C8)))*(1/Budget!$C$88))</f>
        <v>0.31904580152671752</v>
      </c>
    </row>
    <row r="9" spans="1:11" x14ac:dyDescent="0.35">
      <c r="A9" s="112">
        <f>IF($A$14-0.05&gt;0,$A$14-0.05,"-")</f>
        <v>0.08</v>
      </c>
      <c r="B9" s="112">
        <f>IF($B$14-0.05&gt;0,$B$14-0.05,"-")</f>
        <v>0.06</v>
      </c>
      <c r="C9" s="113">
        <f>IF($C$14-0.025&gt;0,$C$14-0.025,"-")</f>
        <v>4.5000000000000005E-2</v>
      </c>
      <c r="D9" s="114">
        <f>IF(OR(A9="-",B9="-",C9="-"),"-",Budget!$C$86)</f>
        <v>1049999.9999999998</v>
      </c>
      <c r="E9" s="114">
        <f>IF(OR(A9="-",B9="-",C9="-"),"-",((D9*Budget!$E$13*A9)+(D9*Budget!$E$14*B9)+(D9*Budget!$E$15*C9)))</f>
        <v>79012.499999999985</v>
      </c>
      <c r="F9" s="115">
        <f>IF(OR(A9="-",B9="-",C9="-"),"-",Budget!$E$109-Budget!$E$106)</f>
        <v>41795</v>
      </c>
      <c r="G9" s="116">
        <f t="shared" si="0"/>
        <v>37217.499999999985</v>
      </c>
      <c r="H9" s="117">
        <f t="shared" si="1"/>
        <v>3.9804761904761912E-2</v>
      </c>
      <c r="I9" s="118">
        <f>IF(OR(A9="-",B9="-",C9="-"),"-",(F9/(((Budget!$C$83/Budget!$C$86)*A9)+((Budget!$C$84/Budget!$C$86)*B9)+((Budget!$C$85/Budget!$C$86)*C9)))*(1/Budget!$C$88))</f>
        <v>0.27770764119601332</v>
      </c>
    </row>
    <row r="10" spans="1:11" x14ac:dyDescent="0.35">
      <c r="A10" s="112">
        <f>IF($A$14-0.04&gt;0,$A$14-0.04,"-")</f>
        <v>0.09</v>
      </c>
      <c r="B10" s="112">
        <f>IF($B$14-0.04&gt;0,$B$14-0.04,"-")</f>
        <v>7.0000000000000007E-2</v>
      </c>
      <c r="C10" s="113">
        <f>IF($C$14-0.02&gt;0,$C$14-0.02,"-")</f>
        <v>0.05</v>
      </c>
      <c r="D10" s="114">
        <f>IF(OR(A10="-",B10="-",C10="-"),"-",Budget!$C$86)</f>
        <v>1049999.9999999998</v>
      </c>
      <c r="E10" s="114">
        <f>IF(OR(A10="-",B10="-",C10="-"),"-",((D10*Budget!$E$13*A10)+(D10*Budget!$E$14*B10)+(D10*Budget!$E$15*C10)))</f>
        <v>89249.999999999985</v>
      </c>
      <c r="F10" s="115">
        <f>IF(OR(A10="-",B10="-",C10="-"),"-",Budget!$E$109-Budget!$E$106)</f>
        <v>41795</v>
      </c>
      <c r="G10" s="116">
        <f t="shared" si="0"/>
        <v>47454.999999999985</v>
      </c>
      <c r="H10" s="117">
        <f t="shared" si="1"/>
        <v>3.9804761904761912E-2</v>
      </c>
      <c r="I10" s="118">
        <f>IF(OR(A10="-",B10="-",C10="-"),"-",(F10/(((Budget!$C$83/Budget!$C$86)*A10)+((Budget!$C$84/Budget!$C$86)*B10)+((Budget!$C$85/Budget!$C$86)*C10)))*(1/Budget!$C$88))</f>
        <v>0.24585294117647058</v>
      </c>
    </row>
    <row r="11" spans="1:11" x14ac:dyDescent="0.35">
      <c r="A11" s="112">
        <f>IF($A$14-0.03&gt;0,$A$14-0.03,"-")</f>
        <v>0.1</v>
      </c>
      <c r="B11" s="112">
        <f>IF($B$14-0.03&gt;0,$B$14-0.03,"-")</f>
        <v>0.08</v>
      </c>
      <c r="C11" s="113">
        <f>IF($C$14-0.015&gt;0,$C$14-0.015,"-")</f>
        <v>5.5000000000000007E-2</v>
      </c>
      <c r="D11" s="114">
        <f>IF(OR(A11="-",B11="-",C11="-"),"-",Budget!$C$86)</f>
        <v>1049999.9999999998</v>
      </c>
      <c r="E11" s="114">
        <f>IF(OR(A11="-",B11="-",C11="-"),"-",((D11*Budget!$E$13*A11)+(D11*Budget!$E$14*B11)+(D11*Budget!$E$15*C11)))</f>
        <v>99487.5</v>
      </c>
      <c r="F11" s="115">
        <f>IF(OR(A11="-",B11="-",C11="-"),"-",Budget!$E$109-Budget!$E$106)</f>
        <v>41795</v>
      </c>
      <c r="G11" s="116">
        <f t="shared" si="0"/>
        <v>57692.5</v>
      </c>
      <c r="H11" s="117">
        <f t="shared" si="1"/>
        <v>3.9804761904761912E-2</v>
      </c>
      <c r="I11" s="118">
        <f>IF(OR(A11="-",B11="-",C11="-"),"-",(F11/(((Budget!$C$83/Budget!$C$86)*A11)+((Budget!$C$84/Budget!$C$86)*B11)+((Budget!$C$85/Budget!$C$86)*C11)))*(1/Budget!$C$88))</f>
        <v>0.22055408970976251</v>
      </c>
    </row>
    <row r="12" spans="1:11" x14ac:dyDescent="0.35">
      <c r="A12" s="112">
        <f>IF($A$14-0.02&gt;0,$A$14-0.02,"-")</f>
        <v>0.11</v>
      </c>
      <c r="B12" s="112">
        <f>IF($B$14-0.02&gt;0,$B$14-0.02,"-")</f>
        <v>0.09</v>
      </c>
      <c r="C12" s="113">
        <f>IF($C$14-0.01&gt;0,$C$14-0.01,"-")</f>
        <v>6.0000000000000005E-2</v>
      </c>
      <c r="D12" s="114">
        <f>IF(OR(A12="-",B12="-",C12="-"),"-",Budget!$C$86)</f>
        <v>1049999.9999999998</v>
      </c>
      <c r="E12" s="114">
        <f>IF(OR(A12="-",B12="-",C12="-"),"-",((D12*Budget!$E$13*A12)+(D12*Budget!$E$14*B12)+(D12*Budget!$E$15*C12)))</f>
        <v>109724.99999999999</v>
      </c>
      <c r="F12" s="115">
        <f>IF(OR(A12="-",B12="-",C12="-"),"-",Budget!$E$109-Budget!$E$106)</f>
        <v>41795</v>
      </c>
      <c r="G12" s="116">
        <f t="shared" si="0"/>
        <v>67929.999999999985</v>
      </c>
      <c r="H12" s="117">
        <f t="shared" si="1"/>
        <v>3.9804761904761912E-2</v>
      </c>
      <c r="I12" s="118">
        <f>IF(OR(A12="-",B12="-",C12="-"),"-",(F12/(((Budget!$C$83/Budget!$C$86)*A12)+((Budget!$C$84/Budget!$C$86)*B12)+((Budget!$C$85/Budget!$C$86)*C12)))*(1/Budget!$C$88))</f>
        <v>0.19997607655502389</v>
      </c>
    </row>
    <row r="13" spans="1:11" x14ac:dyDescent="0.35">
      <c r="A13" s="112">
        <f>IF($A$14-0.01&gt;0,$A$14-0.01,"-")</f>
        <v>0.12000000000000001</v>
      </c>
      <c r="B13" s="112">
        <f>IF($B$14-0.01&gt;0,$B$14-0.01,"-")</f>
        <v>0.1</v>
      </c>
      <c r="C13" s="113">
        <f>IF($C$14-0.005&gt;0,$C$14-0.005,"-")</f>
        <v>6.5000000000000002E-2</v>
      </c>
      <c r="D13" s="114">
        <f>IF(OR(A13="-",B13="-",C13="-"),"-",Budget!$C$86)</f>
        <v>1049999.9999999998</v>
      </c>
      <c r="E13" s="114">
        <f>IF(OR(A13="-",B13="-",C13="-"),"-",((D13*Budget!$E$13*A13)+(D13*Budget!$E$14*B13)+(D13*Budget!$E$15*C13)))</f>
        <v>119962.5</v>
      </c>
      <c r="F13" s="115">
        <f>IF(OR(A13="-",B13="-",C13="-"),"-",Budget!$E$109-Budget!$E$106)</f>
        <v>41795</v>
      </c>
      <c r="G13" s="116">
        <f t="shared" si="0"/>
        <v>78167.5</v>
      </c>
      <c r="H13" s="117">
        <f>IF(OR(A13="-",B13="-",C13="-"),"-",F13/D13)</f>
        <v>3.9804761904761912E-2</v>
      </c>
      <c r="I13" s="118">
        <f>IF(OR(A13="-",B13="-",C13="-"),"-",(F13/(((Budget!$C$83/Budget!$C$86)*A13)+((Budget!$C$84/Budget!$C$86)*B13)+((Budget!$C$85/Budget!$C$86)*C13)))*(1/Budget!$C$88))</f>
        <v>0.18291028446389493</v>
      </c>
    </row>
    <row r="14" spans="1:11" x14ac:dyDescent="0.35">
      <c r="A14" s="119">
        <f>Budget!$H$7</f>
        <v>0.13</v>
      </c>
      <c r="B14" s="120">
        <f>Budget!$H$8</f>
        <v>0.11</v>
      </c>
      <c r="C14" s="121">
        <f>Budget!$H$9</f>
        <v>7.0000000000000007E-2</v>
      </c>
      <c r="D14" s="122">
        <f>Budget!$C$86</f>
        <v>1049999.9999999998</v>
      </c>
      <c r="E14" s="122">
        <f>Budget!$E$86</f>
        <v>130199.99999999999</v>
      </c>
      <c r="F14" s="123">
        <f>Budget!$E$109-Budget!$E$106</f>
        <v>41795</v>
      </c>
      <c r="G14" s="123">
        <f>Budget!$E$113</f>
        <v>88404.999999999985</v>
      </c>
      <c r="H14" s="121">
        <f>Budget!$E$114</f>
        <v>3.9804761904761912E-2</v>
      </c>
      <c r="I14" s="124">
        <f>Budget!$E$115</f>
        <v>0.1685282258064516</v>
      </c>
      <c r="K14" s="164"/>
    </row>
    <row r="15" spans="1:11" x14ac:dyDescent="0.35">
      <c r="A15" s="112">
        <f>IF($A$14+0.01&gt;0,$A$14+0.01,"-")</f>
        <v>0.14000000000000001</v>
      </c>
      <c r="B15" s="112">
        <f>IF($B$14+0.01&gt;0,$B$14+0.01,"-")</f>
        <v>0.12</v>
      </c>
      <c r="C15" s="113">
        <f>IF($C$14+0.005&gt;0,$C$14+0.005,"-")</f>
        <v>7.5000000000000011E-2</v>
      </c>
      <c r="D15" s="114">
        <f>IF(OR(A15="-",B15="-",C15="-"),"-",Budget!$C$86)</f>
        <v>1049999.9999999998</v>
      </c>
      <c r="E15" s="114">
        <f>IF(OR(A15="-",B15="-",C15="-"),"-",((D15*Budget!$E$13*A15)+(D15*Budget!$E$14*B15)+(D15*Budget!$E$15*C15)))</f>
        <v>140437.5</v>
      </c>
      <c r="F15" s="115">
        <f>IF(OR(A15="-",B15="-",C15="-"),"-",Budget!$E$109-Budget!$E$106)</f>
        <v>41795</v>
      </c>
      <c r="G15" s="116">
        <f t="shared" ref="G15:G21" si="2">IF(OR(A15="-",B15="-",C15="-"),"-",E15-F15)</f>
        <v>98642.5</v>
      </c>
      <c r="H15" s="117">
        <f>IF(OR(A15="-",B15="-",C15="-"),"-",F15/D15)</f>
        <v>3.9804761904761912E-2</v>
      </c>
      <c r="I15" s="118">
        <f>IF(OR(A15="-",B15="-",C15="-"),"-",(F15/(((Budget!$C$83/Budget!$C$86)*A15)+((Budget!$C$84/Budget!$C$86)*B15)+((Budget!$C$85/Budget!$C$86)*C15)))*(1/Budget!$C$88))</f>
        <v>0.1562429906542056</v>
      </c>
    </row>
    <row r="16" spans="1:11" x14ac:dyDescent="0.35">
      <c r="A16" s="112">
        <f>IF($A$14+0.02&gt;0,$A$14+0.02,"-")</f>
        <v>0.15</v>
      </c>
      <c r="B16" s="112">
        <f>IF($B$14+0.02&gt;0,$B$14+0.02,"-")</f>
        <v>0.13</v>
      </c>
      <c r="C16" s="113">
        <f>IF($C$14+0.01&gt;0,$C$14+0.01,"-")</f>
        <v>0.08</v>
      </c>
      <c r="D16" s="114">
        <f>IF(OR(A16="-",B16="-",C16="-"),"-",Budget!$C$86)</f>
        <v>1049999.9999999998</v>
      </c>
      <c r="E16" s="114">
        <f>IF(OR(A16="-",B16="-",C16="-"),"-",((D16*Budget!$E$13*A16)+(D16*Budget!$E$14*B16)+(D16*Budget!$E$15*C16)))</f>
        <v>150674.99999999997</v>
      </c>
      <c r="F16" s="115">
        <f>IF(OR(A16="-",B16="-",C16="-"),"-",Budget!$E$109-Budget!$E$106)</f>
        <v>41795</v>
      </c>
      <c r="G16" s="116">
        <f t="shared" si="2"/>
        <v>108879.99999999997</v>
      </c>
      <c r="H16" s="117">
        <f t="shared" ref="H16:H21" si="3">IF(OR(A16="-",B16="-",C16="-"),"-",F16/D16)</f>
        <v>3.9804761904761912E-2</v>
      </c>
      <c r="I16" s="118">
        <f>IF(OR(A16="-",B16="-",C16="-"),"-",(F16/(((Budget!$C$83/Budget!$C$86)*A16)+((Budget!$C$84/Budget!$C$86)*B16)+((Budget!$C$85/Budget!$C$86)*C16)))*(1/Budget!$C$88))</f>
        <v>0.14562717770034841</v>
      </c>
    </row>
    <row r="17" spans="1:9" x14ac:dyDescent="0.35">
      <c r="A17" s="112">
        <f>IF($A$14+0.03&gt;0,$A$14+0.03,"-")</f>
        <v>0.16</v>
      </c>
      <c r="B17" s="112">
        <f>IF($B$14+0.03&gt;0,$B$14+0.03,"-")</f>
        <v>0.14000000000000001</v>
      </c>
      <c r="C17" s="113">
        <f>IF($C$14+0.015&gt;0,$C$14+0.015,"-")</f>
        <v>8.5000000000000006E-2</v>
      </c>
      <c r="D17" s="114">
        <f>IF(OR(A17="-",B17="-",C17="-"),"-",Budget!$C$86)</f>
        <v>1049999.9999999998</v>
      </c>
      <c r="E17" s="114">
        <f>IF(OR(A17="-",B17="-",C17="-"),"-",((D17*Budget!$E$13*A17)+(D17*Budget!$E$14*B17)+(D17*Budget!$E$15*C17)))</f>
        <v>160912.49999999997</v>
      </c>
      <c r="F17" s="115">
        <f>IF(OR(A17="-",B17="-",C17="-"),"-",Budget!$E$109-Budget!$E$106)</f>
        <v>41795</v>
      </c>
      <c r="G17" s="116">
        <f t="shared" si="2"/>
        <v>119117.49999999997</v>
      </c>
      <c r="H17" s="117">
        <f t="shared" si="3"/>
        <v>3.9804761904761912E-2</v>
      </c>
      <c r="I17" s="118">
        <f>IF(OR(A17="-",B17="-",C17="-"),"-",(F17/(((Budget!$C$83/Budget!$C$86)*A17)+((Budget!$C$84/Budget!$C$86)*B17)+((Budget!$C$85/Budget!$C$86)*C17)))*(1/Budget!$C$88))</f>
        <v>0.13636215334420881</v>
      </c>
    </row>
    <row r="18" spans="1:9" x14ac:dyDescent="0.35">
      <c r="A18" s="112">
        <f>IF($A$14+0.04&gt;0,$A$14+0.04,"-")</f>
        <v>0.17</v>
      </c>
      <c r="B18" s="112">
        <f>IF($B$14+0.04&gt;0,$B$14+0.04,"-")</f>
        <v>0.15</v>
      </c>
      <c r="C18" s="113">
        <f>IF($C$14+0.02&gt;0,$C$14+0.02,"-")</f>
        <v>9.0000000000000011E-2</v>
      </c>
      <c r="D18" s="114">
        <f>IF(OR(A18="-",B18="-",C18="-"),"-",Budget!$C$86)</f>
        <v>1049999.9999999998</v>
      </c>
      <c r="E18" s="114">
        <f>IF(OR(A18="-",B18="-",C18="-"),"-",((D18*Budget!$E$13*A18)+(D18*Budget!$E$14*B18)+(D18*Budget!$E$15*C18)))</f>
        <v>171150</v>
      </c>
      <c r="F18" s="115">
        <f>IF(OR(A18="-",B18="-",C18="-"),"-",Budget!$E$109-Budget!$E$106)</f>
        <v>41795</v>
      </c>
      <c r="G18" s="116">
        <f t="shared" si="2"/>
        <v>129355</v>
      </c>
      <c r="H18" s="117">
        <f t="shared" si="3"/>
        <v>3.9804761904761912E-2</v>
      </c>
      <c r="I18" s="118">
        <f>IF(OR(A18="-",B18="-",C18="-"),"-",(F18/(((Budget!$C$83/Budget!$C$86)*A18)+((Budget!$C$84/Budget!$C$86)*B18)+((Budget!$C$85/Budget!$C$86)*C18)))*(1/Budget!$C$88))</f>
        <v>0.12820552147239261</v>
      </c>
    </row>
    <row r="19" spans="1:9" x14ac:dyDescent="0.35">
      <c r="A19" s="112">
        <f>IF($A$14+0.05&gt;0,$A$14+0.05,"-")</f>
        <v>0.18</v>
      </c>
      <c r="B19" s="112">
        <f>IF($B$14+0.05&gt;0,$B$14+0.05,"-")</f>
        <v>0.16</v>
      </c>
      <c r="C19" s="113">
        <f>IF($C$14+0.025&gt;0,$C$14+0.025,"-")</f>
        <v>9.5000000000000001E-2</v>
      </c>
      <c r="D19" s="114">
        <f>IF(OR(A19="-",B19="-",C19="-"),"-",Budget!$C$86)</f>
        <v>1049999.9999999998</v>
      </c>
      <c r="E19" s="114">
        <f>IF(OR(A19="-",B19="-",C19="-"),"-",((D19*Budget!$E$13*A19)+(D19*Budget!$E$14*B19)+(D19*Budget!$E$15*C19)))</f>
        <v>181387.49999999997</v>
      </c>
      <c r="F19" s="115">
        <f>IF(OR(A19="-",B19="-",C19="-"),"-",Budget!$E$109-Budget!$E$106)</f>
        <v>41795</v>
      </c>
      <c r="G19" s="116">
        <f t="shared" si="2"/>
        <v>139592.49999999997</v>
      </c>
      <c r="H19" s="117">
        <f t="shared" si="3"/>
        <v>3.9804761904761912E-2</v>
      </c>
      <c r="I19" s="118">
        <f>IF(OR(A19="-",B19="-",C19="-"),"-",(F19/(((Budget!$C$83/Budget!$C$86)*A19)+((Budget!$C$84/Budget!$C$86)*B19)+((Budget!$C$85/Budget!$C$86)*C19)))*(1/Budget!$C$88))</f>
        <v>0.12096960926193923</v>
      </c>
    </row>
    <row r="20" spans="1:9" x14ac:dyDescent="0.35">
      <c r="A20" s="112">
        <f>IF($A$14+0.06&gt;0,$A$14+0.06,"-")</f>
        <v>0.19</v>
      </c>
      <c r="B20" s="112">
        <f>IF($B$14+0.06&gt;0,$B$14+0.06,"-")</f>
        <v>0.16999999999999998</v>
      </c>
      <c r="C20" s="113">
        <f>IF($C$14+0.03&gt;0,$C$14+0.03,"-")</f>
        <v>0.1</v>
      </c>
      <c r="D20" s="114">
        <f>IF(OR(A20="-",B20="-",C20="-"),"-",Budget!$C$86)</f>
        <v>1049999.9999999998</v>
      </c>
      <c r="E20" s="114">
        <f>IF(OR(A20="-",B20="-",C20="-"),"-",((D20*Budget!$E$13*A20)+(D20*Budget!$E$14*B20)+(D20*Budget!$E$15*C20)))</f>
        <v>191624.99999999997</v>
      </c>
      <c r="F20" s="115">
        <f>IF(OR(A20="-",B20="-",C20="-"),"-",Budget!$E$109-Budget!$E$106)</f>
        <v>41795</v>
      </c>
      <c r="G20" s="116">
        <f t="shared" si="2"/>
        <v>149829.99999999997</v>
      </c>
      <c r="H20" s="117">
        <f t="shared" si="3"/>
        <v>3.9804761904761912E-2</v>
      </c>
      <c r="I20" s="118">
        <f>IF(OR(A20="-",B20="-",C20="-"),"-",(F20/(((Budget!$C$83/Budget!$C$86)*A20)+((Budget!$C$84/Budget!$C$86)*B20)+((Budget!$C$85/Budget!$C$86)*C20)))*(1/Budget!$C$88))</f>
        <v>0.11450684931506848</v>
      </c>
    </row>
    <row r="21" spans="1:9" x14ac:dyDescent="0.35">
      <c r="A21" s="112">
        <f>IF($A$14+0.07&gt;0,$A$14+0.07,"-")</f>
        <v>0.2</v>
      </c>
      <c r="B21" s="112">
        <f>IF($B$14+0.07&gt;0,$B$14+0.07,"-")</f>
        <v>0.18</v>
      </c>
      <c r="C21" s="113">
        <f>IF($C$14+0.035&gt;0,$C$14+0.035,"-")</f>
        <v>0.10500000000000001</v>
      </c>
      <c r="D21" s="114">
        <f>IF(OR(A21="-",B21="-",C21="-"),"-",Budget!$C$86)</f>
        <v>1049999.9999999998</v>
      </c>
      <c r="E21" s="114">
        <f>IF(OR(A21="-",B21="-",C21="-"),"-",((D21*Budget!$E$13*A21)+(D21*Budget!$E$14*B21)+(D21*Budget!$E$15*C21)))</f>
        <v>201862.5</v>
      </c>
      <c r="F21" s="115">
        <f>IF(OR(A21="-",B21="-",C21="-"),"-",Budget!$E$109-Budget!$E$106)</f>
        <v>41795</v>
      </c>
      <c r="G21" s="116">
        <f t="shared" si="2"/>
        <v>160067.5</v>
      </c>
      <c r="H21" s="117">
        <f t="shared" si="3"/>
        <v>3.9804761904761912E-2</v>
      </c>
      <c r="I21" s="118">
        <f>IF(OR(A21="-",B21="-",C21="-"),"-",(F21/(((Budget!$C$83/Budget!$C$86)*A21)+((Budget!$C$84/Budget!$C$86)*B21)+((Budget!$C$85/Budget!$C$86)*C21)))*(1/Budget!$C$88))</f>
        <v>0.10869960988296487</v>
      </c>
    </row>
    <row r="22" spans="1:9" x14ac:dyDescent="0.35">
      <c r="A22" s="165"/>
      <c r="B22" s="165"/>
      <c r="C22" s="166"/>
      <c r="D22" s="165"/>
      <c r="E22" s="165"/>
      <c r="F22" s="165"/>
      <c r="G22" s="165"/>
      <c r="H22" s="165"/>
      <c r="I22" s="165"/>
    </row>
    <row r="23" spans="1:9" ht="18.5" x14ac:dyDescent="0.45">
      <c r="A23" s="329" t="s">
        <v>98</v>
      </c>
      <c r="B23" s="329"/>
      <c r="C23" s="329"/>
      <c r="D23" s="329"/>
      <c r="E23" s="329"/>
      <c r="F23" s="329"/>
      <c r="G23" s="329"/>
      <c r="H23" s="329"/>
      <c r="I23" s="329"/>
    </row>
    <row r="24" spans="1:9" x14ac:dyDescent="0.35">
      <c r="A24" s="165"/>
      <c r="B24" s="165"/>
      <c r="C24" s="166"/>
      <c r="D24" s="165"/>
      <c r="E24" s="165"/>
      <c r="F24" s="165"/>
      <c r="G24" s="165"/>
      <c r="H24" s="167"/>
      <c r="I24" s="165"/>
    </row>
    <row r="25" spans="1:9" ht="29" x14ac:dyDescent="0.35">
      <c r="A25" s="330" t="s">
        <v>97</v>
      </c>
      <c r="B25" s="330"/>
      <c r="C25" s="330"/>
      <c r="D25" s="161" t="s">
        <v>88</v>
      </c>
      <c r="E25" s="161" t="s">
        <v>103</v>
      </c>
      <c r="F25" s="161" t="s">
        <v>126</v>
      </c>
      <c r="G25" s="161" t="s">
        <v>122</v>
      </c>
      <c r="H25" s="161" t="s">
        <v>121</v>
      </c>
      <c r="I25" s="161" t="s">
        <v>132</v>
      </c>
    </row>
    <row r="26" spans="1:9" ht="16" thickBot="1" x14ac:dyDescent="0.4">
      <c r="A26" s="162" t="s">
        <v>94</v>
      </c>
      <c r="B26" s="162" t="s">
        <v>95</v>
      </c>
      <c r="C26" s="162" t="s">
        <v>96</v>
      </c>
      <c r="D26" s="163"/>
      <c r="E26" s="163"/>
      <c r="F26" s="163"/>
      <c r="G26" s="163"/>
      <c r="H26" s="163"/>
      <c r="I26" s="163"/>
    </row>
    <row r="27" spans="1:9" x14ac:dyDescent="0.35">
      <c r="A27" s="128" t="str">
        <f t="shared" ref="A27:A30" si="4">IF(A28="-","-",IF(A28=1,"-",IF(A28+0.1&gt;1,"-",MROUND(A28+0.1,0.05))))</f>
        <v>-</v>
      </c>
      <c r="B27" s="129" t="str">
        <f t="shared" ref="B27:B30" si="5">IF(A27=1,0,IF(A27="-","-",IF(B28&lt;=0.05,0,IF(AND(B28&gt;0.05,C28=0),MROUND(B28-0.1,0.05),IF(AND(B28&gt;0.05,C28&gt;=0.05),MROUND(B28-0.05,0.05),"-")))))</f>
        <v>-</v>
      </c>
      <c r="C27" s="129" t="str">
        <f t="shared" ref="C27:C30" si="6">IF(A27=1,0,IF(A27="-","-",IF(C28&lt;=0.05,0,IF(AND(C28&gt;0.05,B28=0),MROUND(C28-0.1,0.05),IF(AND(C28&gt;0.05,B28&gt;=0.05),MROUND(C28-0.05,0.05),"-")))))</f>
        <v>-</v>
      </c>
      <c r="D27" s="114" t="str">
        <f>IF(A27="-","-",Budget!$C$86)</f>
        <v>-</v>
      </c>
      <c r="E27" s="114" t="str">
        <f>IF(A27="-","-",((A27*D27*Budget!$H$7)+(B27*D27*Budget!$H$8)+(C27*D27*Budget!$H$9)))</f>
        <v>-</v>
      </c>
      <c r="F27" s="115" t="str">
        <f>IF(A27="-","-",Budget!$E$109-Budget!$E$106)</f>
        <v>-</v>
      </c>
      <c r="G27" s="130" t="str">
        <f t="shared" ref="G27:G30" si="7">IF(A27="-","-",E27-F27)</f>
        <v>-</v>
      </c>
      <c r="H27" s="117" t="str">
        <f t="shared" ref="H27:H30" si="8">IF(A27="-","-",F27/D27)</f>
        <v>-</v>
      </c>
      <c r="I27" s="118" t="str">
        <f>IF(A27="-","-",(F27/((((A27*D27)/D27)*Budget!$H$7)+(((B27*D27)/D27)*Budget!$H$8)+(((C27*D27)/D27)*Budget!$H$9)))*(1/Budget!$C$88))</f>
        <v>-</v>
      </c>
    </row>
    <row r="28" spans="1:9" x14ac:dyDescent="0.35">
      <c r="A28" s="128" t="str">
        <f t="shared" si="4"/>
        <v>-</v>
      </c>
      <c r="B28" s="129" t="str">
        <f t="shared" si="5"/>
        <v>-</v>
      </c>
      <c r="C28" s="129" t="str">
        <f t="shared" si="6"/>
        <v>-</v>
      </c>
      <c r="D28" s="114" t="str">
        <f>IF(A28="-","-",Budget!$C$86)</f>
        <v>-</v>
      </c>
      <c r="E28" s="114" t="str">
        <f>IF(A28="-","-",((A28*D28*Budget!$H$7)+(B28*D28*Budget!$H$8)+(C28*D28*Budget!$H$9)))</f>
        <v>-</v>
      </c>
      <c r="F28" s="115" t="str">
        <f>IF(A28="-","-",Budget!$E$109-Budget!$E$106)</f>
        <v>-</v>
      </c>
      <c r="G28" s="130" t="str">
        <f t="shared" si="7"/>
        <v>-</v>
      </c>
      <c r="H28" s="117" t="str">
        <f t="shared" si="8"/>
        <v>-</v>
      </c>
      <c r="I28" s="118" t="str">
        <f>IF(A28="-","-",(F28/((((A28*D28)/D28)*Budget!$H$7)+(((B28*D28)/D28)*Budget!$H$8)+(((C28*D28)/D28)*Budget!$H$9)))*(1/Budget!$C$88))</f>
        <v>-</v>
      </c>
    </row>
    <row r="29" spans="1:9" x14ac:dyDescent="0.35">
      <c r="A29" s="128" t="str">
        <f t="shared" si="4"/>
        <v>-</v>
      </c>
      <c r="B29" s="129" t="str">
        <f t="shared" si="5"/>
        <v>-</v>
      </c>
      <c r="C29" s="129" t="str">
        <f t="shared" si="6"/>
        <v>-</v>
      </c>
      <c r="D29" s="114" t="str">
        <f>IF(A29="-","-",Budget!$C$86)</f>
        <v>-</v>
      </c>
      <c r="E29" s="114" t="str">
        <f>IF(A29="-","-",((A29*D29*Budget!$H$7)+(B29*D29*Budget!$H$8)+(C29*D29*Budget!$H$9)))</f>
        <v>-</v>
      </c>
      <c r="F29" s="115" t="str">
        <f>IF(A29="-","-",Budget!$E$109-Budget!$E$106)</f>
        <v>-</v>
      </c>
      <c r="G29" s="130" t="str">
        <f t="shared" si="7"/>
        <v>-</v>
      </c>
      <c r="H29" s="117" t="str">
        <f t="shared" si="8"/>
        <v>-</v>
      </c>
      <c r="I29" s="118" t="str">
        <f>IF(A29="-","-",(F29/((((A29*D29)/D29)*Budget!$H$7)+(((B29*D29)/D29)*Budget!$H$8)+(((C29*D29)/D29)*Budget!$H$9)))*(1/Budget!$C$88))</f>
        <v>-</v>
      </c>
    </row>
    <row r="30" spans="1:9" x14ac:dyDescent="0.35">
      <c r="A30" s="128">
        <f t="shared" si="4"/>
        <v>1</v>
      </c>
      <c r="B30" s="129">
        <f t="shared" si="5"/>
        <v>0</v>
      </c>
      <c r="C30" s="129">
        <f t="shared" si="6"/>
        <v>0</v>
      </c>
      <c r="D30" s="114">
        <f>IF(A30="-","-",Budget!$C$86)</f>
        <v>1049999.9999999998</v>
      </c>
      <c r="E30" s="114">
        <f>IF(A30="-","-",((A30*D30*Budget!$H$7)+(B30*D30*Budget!$H$8)+(C30*D30*Budget!$H$9)))</f>
        <v>136499.99999999997</v>
      </c>
      <c r="F30" s="115">
        <f>IF(A30="-","-",Budget!$E$109-Budget!$E$106)</f>
        <v>41795</v>
      </c>
      <c r="G30" s="130">
        <f t="shared" si="7"/>
        <v>94704.999999999971</v>
      </c>
      <c r="H30" s="117">
        <f t="shared" si="8"/>
        <v>3.9804761904761912E-2</v>
      </c>
      <c r="I30" s="118">
        <f>IF(A30="-","-",(F30/((((A30*D30)/D30)*Budget!$H$7)+(((B30*D30)/D30)*Budget!$H$8)+(((C30*D30)/D30)*Budget!$H$9)))*(1/Budget!$C$88))</f>
        <v>0.16075</v>
      </c>
    </row>
    <row r="31" spans="1:9" x14ac:dyDescent="0.35">
      <c r="A31" s="128">
        <f>IF(A32="-","-",IF(A32=1,"-",IF(A32+0.1&gt;1,"-",MROUND(A32+0.1,0.05))))</f>
        <v>0.9</v>
      </c>
      <c r="B31" s="129">
        <f>IF(A31=1,0,IF(A31="-","-",IF(B32&lt;=0.05,0,IF(AND(B32&gt;0.05,C32=0),MROUND(B32-0.1,0.05),IF(AND(B32&gt;0.05,C32&gt;=0.05),MROUND(B32-0.05,0.05),"-")))))</f>
        <v>0.1</v>
      </c>
      <c r="C31" s="129">
        <f>IF(A31=1,0,IF(A31="-","-",IF(C32&lt;=0.05,0,IF(AND(C32&gt;0.05,B32=0),MROUND(C32-0.1,0.05),IF(AND(C32&gt;0.05,B32&gt;=0.05),MROUND(C32-0.05,0.05),"-")))))</f>
        <v>0</v>
      </c>
      <c r="D31" s="114">
        <f>IF(A31="-","-",Budget!$C$86)</f>
        <v>1049999.9999999998</v>
      </c>
      <c r="E31" s="114">
        <f>IF(A31="-","-",((A31*D31*Budget!$H$7)+(B31*D31*Budget!$H$8)+(C31*D31*Budget!$H$9)))</f>
        <v>134399.99999999997</v>
      </c>
      <c r="F31" s="115">
        <f>IF(A31="-","-",Budget!$E$109-Budget!$E$106)</f>
        <v>41795</v>
      </c>
      <c r="G31" s="130">
        <f>IF(A31="-","-",E31-F31)</f>
        <v>92604.999999999971</v>
      </c>
      <c r="H31" s="117">
        <f>IF(A31="-","-",F31/D31)</f>
        <v>3.9804761904761912E-2</v>
      </c>
      <c r="I31" s="118">
        <f>IF(A31="-","-",(F31/((((A31*D31)/D31)*Budget!$H$7)+(((B31*D31)/D31)*Budget!$H$8)+(((C31*D31)/D31)*Budget!$H$9)))*(1/Budget!$C$88))</f>
        <v>0.16326171874999998</v>
      </c>
    </row>
    <row r="32" spans="1:9" x14ac:dyDescent="0.35">
      <c r="A32" s="131">
        <f>Budget!$E$13</f>
        <v>0.8</v>
      </c>
      <c r="B32" s="131">
        <f>Budget!$E$14</f>
        <v>0.15</v>
      </c>
      <c r="C32" s="131">
        <f>Budget!$E$15</f>
        <v>0.05</v>
      </c>
      <c r="D32" s="122">
        <f>Budget!$C$86</f>
        <v>1049999.9999999998</v>
      </c>
      <c r="E32" s="122">
        <f>Budget!$E$86</f>
        <v>130199.99999999999</v>
      </c>
      <c r="F32" s="123">
        <f>Budget!$E$109-Budget!$E$106</f>
        <v>41795</v>
      </c>
      <c r="G32" s="132">
        <f>Budget!$E$113</f>
        <v>88404.999999999985</v>
      </c>
      <c r="H32" s="121">
        <f>Budget!$E$114</f>
        <v>3.9804761904761912E-2</v>
      </c>
      <c r="I32" s="124">
        <f>Budget!$E$115</f>
        <v>0.1685282258064516</v>
      </c>
    </row>
    <row r="33" spans="1:9" x14ac:dyDescent="0.35">
      <c r="A33" s="128">
        <f>IF(OR(B33="-",C33="-"),"-",IF(OR(A32=0,A32-0.1&lt;=0),0,MROUND(A32-0.1,0.05)))</f>
        <v>0.70000000000000007</v>
      </c>
      <c r="B33" s="129">
        <f>IF(OR(B32=1,B32="-"),"-",IF(AND(B32+0.05&lt;=1,B32+C32+0.1&lt;=1),B32+0.05,"-"))</f>
        <v>0.2</v>
      </c>
      <c r="C33" s="129">
        <f>IF(OR(C32=1,C32="-"),"-",IF(AND(C32+0.05&lt;=1,B32+C32+0.1&lt;=1),C32+0.05,"-"))</f>
        <v>0.1</v>
      </c>
      <c r="D33" s="114">
        <f>IF(A33="-","-",Budget!$C$86)</f>
        <v>1049999.9999999998</v>
      </c>
      <c r="E33" s="114">
        <f>IF(A33="-","-",((A33*D33*Budget!$H$7)+(B33*D33*Budget!$H$8)+(C33*D33*Budget!$H$9)))</f>
        <v>125999.99999999999</v>
      </c>
      <c r="F33" s="115">
        <f>IF(A33="-","-",Budget!$E$109-Budget!$E$106)</f>
        <v>41795</v>
      </c>
      <c r="G33" s="130">
        <f>IF(A33="-","-",E33-F33)</f>
        <v>84204.999999999985</v>
      </c>
      <c r="H33" s="117">
        <f>IF(A33="-","-",F33/D33)</f>
        <v>3.9804761904761912E-2</v>
      </c>
      <c r="I33" s="118">
        <f>IF(A33="-","-",(F33/((((A33*D33)/D33)*Budget!$H$7)+(((B33*D33)/D33)*Budget!$H$8)+(((C33*D33)/D33)*Budget!$H$9)))*(1/Budget!$C$88))</f>
        <v>0.17414583333333331</v>
      </c>
    </row>
    <row r="34" spans="1:9" x14ac:dyDescent="0.35">
      <c r="A34" s="128">
        <f t="shared" ref="A34:A37" si="9">IF(OR(B34="-",C34="-"),"-",IF(OR(A33=0,A33-0.1&lt;=0),0,MROUND(A33-0.1,0.05)))</f>
        <v>0.60000000000000009</v>
      </c>
      <c r="B34" s="129">
        <f>IF(OR(B33=1,B33="-"),"-",IF(AND(B33+0.05&lt;=1,B33+C33+0.1&lt;=1),B33+0.05,"-"))</f>
        <v>0.25</v>
      </c>
      <c r="C34" s="129">
        <f>IF(OR(C33=1,C33="-"),"-",IF(AND(C33+0.05&lt;=1,B33+C33+0.1&lt;=1),C33+0.05,"-"))</f>
        <v>0.15000000000000002</v>
      </c>
      <c r="D34" s="114">
        <f>IF(A34="-","-",Budget!$C$86)</f>
        <v>1049999.9999999998</v>
      </c>
      <c r="E34" s="114">
        <f>IF(A34="-","-",((A34*D34*Budget!$H$7)+(B34*D34*Budget!$H$8)+(C34*D34*Budget!$H$9)))</f>
        <v>121800</v>
      </c>
      <c r="F34" s="115">
        <f>IF(A34="-","-",Budget!$E$109-Budget!$E$106)</f>
        <v>41795</v>
      </c>
      <c r="G34" s="130">
        <f t="shared" ref="G34:G37" si="10">IF(A34="-","-",E34-F34)</f>
        <v>80005</v>
      </c>
      <c r="H34" s="117">
        <f t="shared" ref="H34:H37" si="11">IF(A34="-","-",F34/D34)</f>
        <v>3.9804761904761912E-2</v>
      </c>
      <c r="I34" s="118">
        <f>IF(A34="-","-",(F34/((((A34*D34)/D34)*Budget!$H$7)+(((B34*D34)/D34)*Budget!$H$8)+(((C34*D34)/D34)*Budget!$H$9)))*(1/Budget!$C$88))</f>
        <v>0.18015086206896547</v>
      </c>
    </row>
    <row r="35" spans="1:9" x14ac:dyDescent="0.35">
      <c r="A35" s="128">
        <f t="shared" si="9"/>
        <v>0.5</v>
      </c>
      <c r="B35" s="129">
        <f>IF(OR(B34=1,B34="-"),"-",IF(AND(B34+0.05&lt;=1,B34+C34+0.1&lt;=1),B34+0.05,"-"))</f>
        <v>0.3</v>
      </c>
      <c r="C35" s="129">
        <f>IF(OR(C34=1,C34="-"),"-",IF(AND(C34+0.05&lt;=1,B34+C34+0.1&lt;=1),C34+0.05,"-"))</f>
        <v>0.2</v>
      </c>
      <c r="D35" s="114">
        <f>IF(A35="-","-",Budget!$C$86)</f>
        <v>1049999.9999999998</v>
      </c>
      <c r="E35" s="114">
        <f>IF(A35="-","-",((A35*D35*Budget!$H$7)+(B35*D35*Budget!$H$8)+(C35*D35*Budget!$H$9)))</f>
        <v>117599.99999999997</v>
      </c>
      <c r="F35" s="115">
        <f>IF(A35="-","-",Budget!$E$109-Budget!$E$106)</f>
        <v>41795</v>
      </c>
      <c r="G35" s="130">
        <f t="shared" si="10"/>
        <v>75804.999999999971</v>
      </c>
      <c r="H35" s="117">
        <f t="shared" si="11"/>
        <v>3.9804761904761912E-2</v>
      </c>
      <c r="I35" s="118">
        <f>IF(A35="-","-",(F35/((((A35*D35)/D35)*Budget!$H$7)+(((B35*D35)/D35)*Budget!$H$8)+(((C35*D35)/D35)*Budget!$H$9)))*(1/Budget!$C$88))</f>
        <v>0.18658482142857141</v>
      </c>
    </row>
    <row r="36" spans="1:9" x14ac:dyDescent="0.35">
      <c r="A36" s="128">
        <f t="shared" si="9"/>
        <v>0.4</v>
      </c>
      <c r="B36" s="129">
        <f>IF(OR(B35=1,B35="-"),"-",IF(AND(B35+0.05&lt;=1,B35+C35+0.1&lt;=1),B35+0.05,"-"))</f>
        <v>0.35</v>
      </c>
      <c r="C36" s="129">
        <f>IF(OR(C35=1,C35="-"),"-",IF(AND(C35+0.05&lt;=1,B35+C35+0.1&lt;=1),C35+0.05,"-"))</f>
        <v>0.25</v>
      </c>
      <c r="D36" s="114">
        <f>IF(A36="-","-",Budget!$C$86)</f>
        <v>1049999.9999999998</v>
      </c>
      <c r="E36" s="114">
        <f>IF(A36="-","-",((A36*D36*Budget!$H$7)+(B36*D36*Budget!$H$8)+(C36*D36*Budget!$H$9)))</f>
        <v>113399.99999999997</v>
      </c>
      <c r="F36" s="115">
        <f>IF(A36="-","-",Budget!$E$109-Budget!$E$106)</f>
        <v>41795</v>
      </c>
      <c r="G36" s="130">
        <f t="shared" si="10"/>
        <v>71604.999999999971</v>
      </c>
      <c r="H36" s="117">
        <f t="shared" si="11"/>
        <v>3.9804761904761912E-2</v>
      </c>
      <c r="I36" s="118">
        <f>IF(A36="-","-",(F36/((((A36*D36)/D36)*Budget!$H$7)+(((B36*D36)/D36)*Budget!$H$8)+(((C36*D36)/D36)*Budget!$H$9)))*(1/Budget!$C$88))</f>
        <v>0.19349537037037035</v>
      </c>
    </row>
    <row r="37" spans="1:9" x14ac:dyDescent="0.35">
      <c r="A37" s="128">
        <f t="shared" si="9"/>
        <v>0.30000000000000004</v>
      </c>
      <c r="B37" s="129">
        <f>IF(OR(B36=1,B36="-"),"-",IF(AND(B36+0.05&lt;=1,B36+C36+0.1&lt;=1),B36+0.05,"-"))</f>
        <v>0.39999999999999997</v>
      </c>
      <c r="C37" s="129">
        <f>IF(OR(C36=1,C36="-"),"-",IF(AND(C36+0.05&lt;=1,B36+C36+0.1&lt;=1),C36+0.05,"-"))</f>
        <v>0.3</v>
      </c>
      <c r="D37" s="114">
        <f>IF(A37="-","-",Budget!$C$86)</f>
        <v>1049999.9999999998</v>
      </c>
      <c r="E37" s="114">
        <f>IF(A37="-","-",((A37*D37*Budget!$H$7)+(B37*D37*Budget!$H$8)+(C37*D37*Budget!$H$9)))</f>
        <v>109199.99999999999</v>
      </c>
      <c r="F37" s="115">
        <f>IF(A37="-","-",Budget!$E$109-Budget!$E$106)</f>
        <v>41795</v>
      </c>
      <c r="G37" s="130">
        <f t="shared" si="10"/>
        <v>67404.999999999985</v>
      </c>
      <c r="H37" s="117">
        <f t="shared" si="11"/>
        <v>3.9804761904761912E-2</v>
      </c>
      <c r="I37" s="118">
        <f>IF(A37="-","-",(F37/((((A37*D37)/D37)*Budget!$H$7)+(((B37*D37)/D37)*Budget!$H$8)+(((C37*D37)/D37)*Budget!$H$9)))*(1/Budget!$C$88))</f>
        <v>0.20093749999999996</v>
      </c>
    </row>
    <row r="75" spans="2:2" x14ac:dyDescent="0.35">
      <c r="B75" s="159"/>
    </row>
    <row r="76" spans="2:2" x14ac:dyDescent="0.35">
      <c r="B76" s="159"/>
    </row>
    <row r="77" spans="2:2" x14ac:dyDescent="0.35">
      <c r="B77" s="159"/>
    </row>
  </sheetData>
  <sheetProtection algorithmName="SHA-512" hashValue="GjPkBCaRZMSmTzADm/Rzca9qT+79tYLBX7RgmMsgrWrxSulPebQSx4Q6HG8pGSg5T3/zZT1sP7PBd/hlf0LHfw==" saltValue="gubaUEAlwhtO2C90JXChGQ==" spinCount="100000" sheet="1" objects="1" scenarios="1"/>
  <mergeCells count="5">
    <mergeCell ref="A1:I1"/>
    <mergeCell ref="A3:I3"/>
    <mergeCell ref="A5:C5"/>
    <mergeCell ref="A23:I23"/>
    <mergeCell ref="A25:C25"/>
  </mergeCells>
  <phoneticPr fontId="5" type="noConversion"/>
  <conditionalFormatting sqref="G7:G21">
    <cfRule type="cellIs" dxfId="11" priority="5" operator="lessThan">
      <formula>0</formula>
    </cfRule>
  </conditionalFormatting>
  <conditionalFormatting sqref="G27:G37">
    <cfRule type="cellIs" dxfId="10" priority="4" operator="lessThan">
      <formula>0</formula>
    </cfRule>
  </conditionalFormatting>
  <pageMargins left="0.75" right="0.75" top="1" bottom="1" header="0.5" footer="0.5"/>
  <pageSetup scale="86" orientation="landscape" horizontalDpi="4294967292" verticalDpi="4294967292" r:id="rId1"/>
  <headerFooter alignWithMargins="0"/>
  <rowBreaks count="2" manualBreakCount="2">
    <brk id="35" max="16383" man="1"/>
    <brk id="5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91"/>
  <sheetViews>
    <sheetView topLeftCell="A23" zoomScaleNormal="100" workbookViewId="0">
      <selection activeCell="I7" sqref="I7"/>
    </sheetView>
  </sheetViews>
  <sheetFormatPr defaultColWidth="11" defaultRowHeight="15.5" x14ac:dyDescent="0.35"/>
  <cols>
    <col min="1" max="1" width="20.58203125" style="107" customWidth="1"/>
    <col min="2" max="2" width="18.58203125" style="107" bestFit="1" customWidth="1"/>
    <col min="3" max="3" width="12" style="107" bestFit="1" customWidth="1"/>
    <col min="4" max="4" width="12.25" style="107" bestFit="1" customWidth="1"/>
    <col min="5" max="5" width="12" style="107" customWidth="1"/>
    <col min="6" max="6" width="13" style="107" bestFit="1" customWidth="1"/>
    <col min="7" max="7" width="18.25" style="107" bestFit="1" customWidth="1"/>
    <col min="8" max="8" width="17.08203125" style="107" bestFit="1" customWidth="1"/>
    <col min="9" max="9" width="17.5" style="107" bestFit="1" customWidth="1"/>
    <col min="10" max="16384" width="11" style="107"/>
  </cols>
  <sheetData>
    <row r="1" spans="1:9" ht="21" x14ac:dyDescent="0.5">
      <c r="A1" s="326" t="s">
        <v>150</v>
      </c>
      <c r="B1" s="326"/>
      <c r="C1" s="326"/>
      <c r="D1" s="326"/>
      <c r="E1" s="326"/>
      <c r="F1" s="326"/>
      <c r="G1" s="326"/>
    </row>
    <row r="2" spans="1:9" ht="18.5" x14ac:dyDescent="0.45">
      <c r="A2" s="133"/>
      <c r="B2" s="133"/>
      <c r="C2" s="133"/>
      <c r="D2" s="133"/>
      <c r="E2" s="133"/>
      <c r="F2" s="133"/>
      <c r="G2" s="133"/>
    </row>
    <row r="3" spans="1:9" ht="18.5" x14ac:dyDescent="0.45">
      <c r="A3" s="327" t="s">
        <v>91</v>
      </c>
      <c r="B3" s="327"/>
      <c r="C3" s="327"/>
      <c r="D3" s="327"/>
      <c r="E3" s="327"/>
      <c r="F3" s="327"/>
      <c r="G3" s="327"/>
    </row>
    <row r="4" spans="1:9" s="109" customFormat="1" ht="29.5" thickBot="1" x14ac:dyDescent="0.4">
      <c r="A4" s="134" t="s">
        <v>46</v>
      </c>
      <c r="B4" s="135" t="s">
        <v>88</v>
      </c>
      <c r="C4" s="134" t="s">
        <v>103</v>
      </c>
      <c r="D4" s="134" t="s">
        <v>89</v>
      </c>
      <c r="E4" s="134" t="s">
        <v>42</v>
      </c>
      <c r="F4" s="134" t="s">
        <v>43</v>
      </c>
      <c r="G4" s="134" t="s">
        <v>131</v>
      </c>
      <c r="H4" s="136"/>
      <c r="I4" s="136"/>
    </row>
    <row r="5" spans="1:9" x14ac:dyDescent="0.35">
      <c r="A5" s="137">
        <f>IF($A$12-0.007&gt;0,$A$12-0.007,"-")</f>
        <v>3.0000000000000001E-3</v>
      </c>
      <c r="B5" s="138">
        <f>IF(A5="-","-",Budget!$C$86)</f>
        <v>1049999.9999999998</v>
      </c>
      <c r="C5" s="139">
        <f>IF(A5="-","-",Budget!$E$86)</f>
        <v>130199.99999999999</v>
      </c>
      <c r="D5" s="140">
        <f>IF(A5="-","-",$D$12-(($A$12-A5)*Budget!$E$5))</f>
        <v>34562.466666666667</v>
      </c>
      <c r="E5" s="140">
        <f t="shared" ref="E5:E10" si="0">IF(A5="-","-",C5-D5)</f>
        <v>95637.533333333326</v>
      </c>
      <c r="F5" s="141">
        <f t="shared" ref="F5:F10" si="1">IF(A5="-","-",D5/B5)</f>
        <v>3.291663492063493E-2</v>
      </c>
      <c r="G5" s="118">
        <f>IF(A5="-","-",(D5/(((Budget!$C$83/Budget!$C$86)*Budget!$D$83)+((Budget!$C$84/Budget!$C$86)*Budget!$D$84)+((Budget!$C$85/Budget!$C$86)*Budget!$D$85)))*(1/Budget!$C$88))</f>
        <v>0.13936478494623655</v>
      </c>
    </row>
    <row r="6" spans="1:9" x14ac:dyDescent="0.35">
      <c r="A6" s="137">
        <f>IF($A$12-0.006&gt;0,$A$12-0.006,"-")</f>
        <v>4.0000000000000001E-3</v>
      </c>
      <c r="B6" s="138">
        <f>IF(A6="-","-",Budget!$C$86)</f>
        <v>1049999.9999999998</v>
      </c>
      <c r="C6" s="139">
        <f>IF(A6="-","-",Budget!$E$86)</f>
        <v>130199.99999999999</v>
      </c>
      <c r="D6" s="140">
        <f>IF(A6="-","-",$D$12-(($A$12-A6)*Budget!$E$5))</f>
        <v>36562.466666666667</v>
      </c>
      <c r="E6" s="140">
        <f t="shared" si="0"/>
        <v>93637.533333333326</v>
      </c>
      <c r="F6" s="141">
        <f t="shared" si="1"/>
        <v>3.4821396825396832E-2</v>
      </c>
      <c r="G6" s="118">
        <f>IF(A6="-","-",(D6/(((Budget!$C$83/Budget!$C$86)*Budget!$D$83)+((Budget!$C$84/Budget!$C$86)*Budget!$D$84)+((Budget!$C$85/Budget!$C$86)*Budget!$D$85)))*(1/Budget!$C$88))</f>
        <v>0.1474293010752688</v>
      </c>
    </row>
    <row r="7" spans="1:9" x14ac:dyDescent="0.35">
      <c r="A7" s="137">
        <f>IF($A$12-0.005&gt;0,$A$12-0.005,"-")</f>
        <v>5.0000000000000001E-3</v>
      </c>
      <c r="B7" s="138">
        <f>IF(A7="-","-",Budget!$C$86)</f>
        <v>1049999.9999999998</v>
      </c>
      <c r="C7" s="139">
        <f>IF(A7="-","-",Budget!$E$86)</f>
        <v>130199.99999999999</v>
      </c>
      <c r="D7" s="140">
        <f>IF(A7="-","-",$D$12-(($A$12-A7)*Budget!$E$5))</f>
        <v>38562.466666666667</v>
      </c>
      <c r="E7" s="140">
        <f t="shared" si="0"/>
        <v>91637.533333333326</v>
      </c>
      <c r="F7" s="141">
        <f t="shared" si="1"/>
        <v>3.6726158730158741E-2</v>
      </c>
      <c r="G7" s="118">
        <f>IF(A7="-","-",(D7/(((Budget!$C$83/Budget!$C$86)*Budget!$D$83)+((Budget!$C$84/Budget!$C$86)*Budget!$D$84)+((Budget!$C$85/Budget!$C$86)*Budget!$D$85)))*(1/Budget!$C$88))</f>
        <v>0.15549381720430105</v>
      </c>
    </row>
    <row r="8" spans="1:9" x14ac:dyDescent="0.35">
      <c r="A8" s="137">
        <f>IF($A$12-0.004&gt;0,$A$12-0.004,"-")</f>
        <v>6.0000000000000001E-3</v>
      </c>
      <c r="B8" s="138">
        <f>IF(A8="-","-",Budget!$C$86)</f>
        <v>1049999.9999999998</v>
      </c>
      <c r="C8" s="139">
        <f>IF(A8="-","-",Budget!$E$86)</f>
        <v>130199.99999999999</v>
      </c>
      <c r="D8" s="140">
        <f>IF(A8="-","-",$D$12-(($A$12-A8)*Budget!$E$5))</f>
        <v>40562.466666666667</v>
      </c>
      <c r="E8" s="140">
        <f t="shared" si="0"/>
        <v>89637.533333333326</v>
      </c>
      <c r="F8" s="141">
        <f t="shared" si="1"/>
        <v>3.8630920634920643E-2</v>
      </c>
      <c r="G8" s="118">
        <f>IF(A8="-","-",(D8/(((Budget!$C$83/Budget!$C$86)*Budget!$D$83)+((Budget!$C$84/Budget!$C$86)*Budget!$D$84)+((Budget!$C$85/Budget!$C$86)*Budget!$D$85)))*(1/Budget!$C$88))</f>
        <v>0.16355833333333331</v>
      </c>
    </row>
    <row r="9" spans="1:9" x14ac:dyDescent="0.35">
      <c r="A9" s="137">
        <f>IF($A$12-0.003&gt;0,$A$12-0.003,"-")</f>
        <v>7.0000000000000001E-3</v>
      </c>
      <c r="B9" s="138">
        <f>IF(A9="-","-",Budget!$C$86)</f>
        <v>1049999.9999999998</v>
      </c>
      <c r="C9" s="139">
        <f>IF(A9="-","-",Budget!$E$86)</f>
        <v>130199.99999999999</v>
      </c>
      <c r="D9" s="140">
        <f>IF(A9="-","-",$D$12-(($A$12-A9)*Budget!$E$5))</f>
        <v>42562.466666666667</v>
      </c>
      <c r="E9" s="140">
        <f t="shared" si="0"/>
        <v>87637.533333333326</v>
      </c>
      <c r="F9" s="141">
        <f t="shared" si="1"/>
        <v>4.0535682539682552E-2</v>
      </c>
      <c r="G9" s="118">
        <f>IF(A9="-","-",(D9/(((Budget!$C$83/Budget!$C$86)*Budget!$D$83)+((Budget!$C$84/Budget!$C$86)*Budget!$D$84)+((Budget!$C$85/Budget!$C$86)*Budget!$D$85)))*(1/Budget!$C$88))</f>
        <v>0.17162284946236558</v>
      </c>
    </row>
    <row r="10" spans="1:9" x14ac:dyDescent="0.35">
      <c r="A10" s="137">
        <f>IF($A$12-0.002&gt;0,$A$12-0.002,"-")</f>
        <v>8.0000000000000002E-3</v>
      </c>
      <c r="B10" s="138">
        <f>IF(A10="-","-",Budget!$C$86)</f>
        <v>1049999.9999999998</v>
      </c>
      <c r="C10" s="139">
        <f>IF(A10="-","-",Budget!$E$86)</f>
        <v>130199.99999999999</v>
      </c>
      <c r="D10" s="140">
        <f>IF(A10="-","-",$D$12-(($A$12-A10)*Budget!$E$5))</f>
        <v>44562.466666666667</v>
      </c>
      <c r="E10" s="140">
        <f t="shared" si="0"/>
        <v>85637.533333333326</v>
      </c>
      <c r="F10" s="141">
        <f t="shared" si="1"/>
        <v>4.2440444444444454E-2</v>
      </c>
      <c r="G10" s="118">
        <f>IF(A10="-","-",(D10/(((Budget!$C$83/Budget!$C$86)*Budget!$D$83)+((Budget!$C$84/Budget!$C$86)*Budget!$D$84)+((Budget!$C$85/Budget!$C$86)*Budget!$D$85)))*(1/Budget!$C$88))</f>
        <v>0.17968736559139781</v>
      </c>
    </row>
    <row r="11" spans="1:9" x14ac:dyDescent="0.35">
      <c r="A11" s="137">
        <f>IF($A$12-0.001&gt;0,$A$12-0.001,"-")</f>
        <v>9.0000000000000011E-3</v>
      </c>
      <c r="B11" s="138">
        <f>IF(A11="-","-",Budget!$C$86)</f>
        <v>1049999.9999999998</v>
      </c>
      <c r="C11" s="139">
        <f>IF(A11="-","-",Budget!$E$86)</f>
        <v>130199.99999999999</v>
      </c>
      <c r="D11" s="140">
        <f>IF(A11="-","-",$D$12-(($A$12-A11)*Budget!$E$5))</f>
        <v>46562.466666666667</v>
      </c>
      <c r="E11" s="140">
        <f>IF(A11="-","-",C11-D11)</f>
        <v>83637.533333333326</v>
      </c>
      <c r="F11" s="141">
        <f>IF(A11="-","-",D11/B11)</f>
        <v>4.4345206349206356E-2</v>
      </c>
      <c r="G11" s="118">
        <f>IF(A11="-","-",(D11/(((Budget!$C$83/Budget!$C$86)*Budget!$D$83)+((Budget!$C$84/Budget!$C$86)*Budget!$D$84)+((Budget!$C$85/Budget!$C$86)*Budget!$D$85)))*(1/Budget!$C$88))</f>
        <v>0.18775188172043009</v>
      </c>
    </row>
    <row r="12" spans="1:9" x14ac:dyDescent="0.35">
      <c r="A12" s="142">
        <f>Budget!H5</f>
        <v>0.01</v>
      </c>
      <c r="B12" s="143">
        <f>Budget!$C$86</f>
        <v>1049999.9999999998</v>
      </c>
      <c r="C12" s="132">
        <f>Budget!$E$86</f>
        <v>130199.99999999999</v>
      </c>
      <c r="D12" s="132">
        <f>Budget!$E$109</f>
        <v>48562.466666666667</v>
      </c>
      <c r="E12" s="132">
        <f>Budget!$E$117</f>
        <v>81637.533333333326</v>
      </c>
      <c r="F12" s="142">
        <f>Budget!$E$118</f>
        <v>4.6249968253968265E-2</v>
      </c>
      <c r="G12" s="144">
        <f>Budget!$E$119</f>
        <v>0.19581639784946234</v>
      </c>
    </row>
    <row r="13" spans="1:9" x14ac:dyDescent="0.35">
      <c r="A13" s="137">
        <f>IF($A$12+0.001&gt;0,$A$12+0.001,"-")</f>
        <v>1.0999999999999999E-2</v>
      </c>
      <c r="B13" s="138">
        <f>IF(A13="-","-",Budget!$C$86)</f>
        <v>1049999.9999999998</v>
      </c>
      <c r="C13" s="139">
        <f>IF(A13="-","-",Budget!$E$86)</f>
        <v>130199.99999999999</v>
      </c>
      <c r="D13" s="140">
        <f>IF(A13="-","-",$D$12-(($A$12-A13)*Budget!$E$5))</f>
        <v>50562.466666666667</v>
      </c>
      <c r="E13" s="140">
        <f>IF(A13="-","-",C13-D13)</f>
        <v>79637.533333333326</v>
      </c>
      <c r="F13" s="141">
        <f>IF(A13="-","-",D13/B13)</f>
        <v>4.8154730158730168E-2</v>
      </c>
      <c r="G13" s="118">
        <f>IF(A13="-","-",(D13/(((Budget!$C$83/Budget!$C$86)*Budget!$D$83)+((Budget!$C$84/Budget!$C$86)*Budget!$D$84)+((Budget!$C$85/Budget!$C$86)*Budget!$D$85)))*(1/Budget!$C$88))</f>
        <v>0.20388091397849462</v>
      </c>
    </row>
    <row r="14" spans="1:9" x14ac:dyDescent="0.35">
      <c r="A14" s="137">
        <f>IF($A$12+0.002&gt;0,$A$12+0.002,"-")</f>
        <v>1.2E-2</v>
      </c>
      <c r="B14" s="138">
        <f>IF(A14="-","-",Budget!$C$86)</f>
        <v>1049999.9999999998</v>
      </c>
      <c r="C14" s="139">
        <f>IF(A14="-","-",Budget!$E$86)</f>
        <v>130199.99999999999</v>
      </c>
      <c r="D14" s="140">
        <f>IF(A14="-","-",$D$12-(($A$12-A14)*Budget!$E$5))</f>
        <v>52562.466666666667</v>
      </c>
      <c r="E14" s="140">
        <f t="shared" ref="E14:E19" si="2">IF(A14="-","-",C14-D14)</f>
        <v>77637.533333333326</v>
      </c>
      <c r="F14" s="141">
        <f t="shared" ref="F14:F19" si="3">IF(A14="-","-",D14/B14)</f>
        <v>5.0059492063492077E-2</v>
      </c>
      <c r="G14" s="118">
        <f>IF(A14="-","-",(D14/(((Budget!$C$83/Budget!$C$86)*Budget!$D$83)+((Budget!$C$84/Budget!$C$86)*Budget!$D$84)+((Budget!$C$85/Budget!$C$86)*Budget!$D$85)))*(1/Budget!$C$88))</f>
        <v>0.21194543010752684</v>
      </c>
    </row>
    <row r="15" spans="1:9" x14ac:dyDescent="0.35">
      <c r="A15" s="137">
        <f>IF($A$12+0.003&gt;0,$A$12+0.003,"-")</f>
        <v>1.3000000000000001E-2</v>
      </c>
      <c r="B15" s="138">
        <f>IF(A15="-","-",Budget!$C$86)</f>
        <v>1049999.9999999998</v>
      </c>
      <c r="C15" s="139">
        <f>IF(A15="-","-",Budget!$E$86)</f>
        <v>130199.99999999999</v>
      </c>
      <c r="D15" s="140">
        <f>IF(A15="-","-",$D$12-(($A$12-A15)*Budget!$E$5))</f>
        <v>54562.466666666667</v>
      </c>
      <c r="E15" s="140">
        <f t="shared" si="2"/>
        <v>75637.533333333326</v>
      </c>
      <c r="F15" s="141">
        <f t="shared" si="3"/>
        <v>5.1964253968253979E-2</v>
      </c>
      <c r="G15" s="118">
        <f>IF(A15="-","-",(D15/(((Budget!$C$83/Budget!$C$86)*Budget!$D$83)+((Budget!$C$84/Budget!$C$86)*Budget!$D$84)+((Budget!$C$85/Budget!$C$86)*Budget!$D$85)))*(1/Budget!$C$88))</f>
        <v>0.22000994623655912</v>
      </c>
    </row>
    <row r="16" spans="1:9" x14ac:dyDescent="0.35">
      <c r="A16" s="137">
        <f>IF($A$12+0.004&gt;0,$A$12+0.004,"-")</f>
        <v>1.4E-2</v>
      </c>
      <c r="B16" s="138">
        <f>IF(A16="-","-",Budget!$C$86)</f>
        <v>1049999.9999999998</v>
      </c>
      <c r="C16" s="139">
        <f>IF(A16="-","-",Budget!$E$86)</f>
        <v>130199.99999999999</v>
      </c>
      <c r="D16" s="140">
        <f>IF(A16="-","-",$D$12-(($A$12-A16)*Budget!$E$5))</f>
        <v>56562.466666666667</v>
      </c>
      <c r="E16" s="140">
        <f t="shared" si="2"/>
        <v>73637.533333333326</v>
      </c>
      <c r="F16" s="141">
        <f t="shared" si="3"/>
        <v>5.3869015873015888E-2</v>
      </c>
      <c r="G16" s="118">
        <f>IF(A16="-","-",(D16/(((Budget!$C$83/Budget!$C$86)*Budget!$D$83)+((Budget!$C$84/Budget!$C$86)*Budget!$D$84)+((Budget!$C$85/Budget!$C$86)*Budget!$D$85)))*(1/Budget!$C$88))</f>
        <v>0.22807446236559137</v>
      </c>
    </row>
    <row r="17" spans="1:7" x14ac:dyDescent="0.35">
      <c r="A17" s="137">
        <f>IF($A$12+0.005&gt;0,$A$12+0.005,"-")</f>
        <v>1.4999999999999999E-2</v>
      </c>
      <c r="B17" s="138">
        <f>IF(A17="-","-",Budget!$C$86)</f>
        <v>1049999.9999999998</v>
      </c>
      <c r="C17" s="139">
        <f>IF(A17="-","-",Budget!$E$86)</f>
        <v>130199.99999999999</v>
      </c>
      <c r="D17" s="140">
        <f>IF(A17="-","-",$D$12-(($A$12-A17)*Budget!$E$5))</f>
        <v>58562.466666666667</v>
      </c>
      <c r="E17" s="140">
        <f t="shared" si="2"/>
        <v>71637.533333333326</v>
      </c>
      <c r="F17" s="141">
        <f t="shared" si="3"/>
        <v>5.577377777777779E-2</v>
      </c>
      <c r="G17" s="118">
        <f>IF(A17="-","-",(D17/(((Budget!$C$83/Budget!$C$86)*Budget!$D$83)+((Budget!$C$84/Budget!$C$86)*Budget!$D$84)+((Budget!$C$85/Budget!$C$86)*Budget!$D$85)))*(1/Budget!$C$88))</f>
        <v>0.23613897849462365</v>
      </c>
    </row>
    <row r="18" spans="1:7" x14ac:dyDescent="0.35">
      <c r="A18" s="137">
        <f>IF($A$12+0.006&gt;0,$A$12+0.006,"-")</f>
        <v>1.6E-2</v>
      </c>
      <c r="B18" s="138">
        <f>IF(A18="-","-",Budget!$C$86)</f>
        <v>1049999.9999999998</v>
      </c>
      <c r="C18" s="139">
        <f>IF(A18="-","-",Budget!$E$86)</f>
        <v>130199.99999999999</v>
      </c>
      <c r="D18" s="140">
        <f>IF(A18="-","-",$D$12-(($A$12-A18)*Budget!$E$5))</f>
        <v>60562.466666666667</v>
      </c>
      <c r="E18" s="140">
        <f t="shared" si="2"/>
        <v>69637.533333333326</v>
      </c>
      <c r="F18" s="141">
        <f t="shared" si="3"/>
        <v>5.7678539682539692E-2</v>
      </c>
      <c r="G18" s="118">
        <f>IF(A18="-","-",(D18/(((Budget!$C$83/Budget!$C$86)*Budget!$D$83)+((Budget!$C$84/Budget!$C$86)*Budget!$D$84)+((Budget!$C$85/Budget!$C$86)*Budget!$D$85)))*(1/Budget!$C$88))</f>
        <v>0.24420349462365587</v>
      </c>
    </row>
    <row r="19" spans="1:7" x14ac:dyDescent="0.35">
      <c r="A19" s="137">
        <f>IF($A$12+0.007&gt;0,$A$12+0.007,"-")</f>
        <v>1.7000000000000001E-2</v>
      </c>
      <c r="B19" s="138">
        <f>IF(A19="-","-",Budget!$C$86)</f>
        <v>1049999.9999999998</v>
      </c>
      <c r="C19" s="139">
        <f>IF(A19="-","-",Budget!$E$86)</f>
        <v>130199.99999999999</v>
      </c>
      <c r="D19" s="140">
        <f>IF(A19="-","-",$D$12-(($A$12-A19)*Budget!$E$5))</f>
        <v>62562.466666666667</v>
      </c>
      <c r="E19" s="140">
        <f t="shared" si="2"/>
        <v>67637.533333333326</v>
      </c>
      <c r="F19" s="141">
        <f t="shared" si="3"/>
        <v>5.9583301587301601E-2</v>
      </c>
      <c r="G19" s="118">
        <f>IF(A19="-","-",(D19/(((Budget!$C$83/Budget!$C$86)*Budget!$D$83)+((Budget!$C$84/Budget!$C$86)*Budget!$D$84)+((Budget!$C$85/Budget!$C$86)*Budget!$D$85)))*(1/Budget!$C$88))</f>
        <v>0.25226801075268818</v>
      </c>
    </row>
    <row r="20" spans="1:7" x14ac:dyDescent="0.35">
      <c r="A20" s="145"/>
      <c r="B20" s="146"/>
      <c r="C20" s="147"/>
      <c r="D20" s="147"/>
      <c r="E20" s="147"/>
      <c r="F20" s="148"/>
      <c r="G20" s="149"/>
    </row>
    <row r="21" spans="1:7" x14ac:dyDescent="0.35">
      <c r="A21" s="145"/>
      <c r="B21" s="146"/>
      <c r="C21" s="147"/>
      <c r="D21" s="147"/>
      <c r="E21" s="147"/>
      <c r="F21" s="148"/>
      <c r="G21" s="149"/>
    </row>
    <row r="22" spans="1:7" ht="18.5" x14ac:dyDescent="0.45">
      <c r="A22" s="327" t="s">
        <v>92</v>
      </c>
      <c r="B22" s="327"/>
      <c r="C22" s="327"/>
      <c r="D22" s="327"/>
      <c r="E22" s="327"/>
      <c r="F22" s="327"/>
      <c r="G22" s="327"/>
    </row>
    <row r="23" spans="1:7" ht="29.5" thickBot="1" x14ac:dyDescent="0.4">
      <c r="A23" s="134" t="s">
        <v>90</v>
      </c>
      <c r="B23" s="135" t="s">
        <v>88</v>
      </c>
      <c r="C23" s="134" t="s">
        <v>103</v>
      </c>
      <c r="D23" s="134" t="s">
        <v>89</v>
      </c>
      <c r="E23" s="134" t="s">
        <v>42</v>
      </c>
      <c r="F23" s="134" t="s">
        <v>43</v>
      </c>
      <c r="G23" s="134" t="s">
        <v>131</v>
      </c>
    </row>
    <row r="24" spans="1:7" x14ac:dyDescent="0.35">
      <c r="A24" s="150">
        <f>IF(AND(MROUND($A$31-0.35,0.05)&gt;0,MROUND($A$31-0.35,0.05)&lt;1),MROUND($A$31-0.35,0.05),"-")</f>
        <v>0.2</v>
      </c>
      <c r="B24" s="138">
        <f>IF(A24="-","-",Budget!$E$5*'Cash Cost Sensitivities (1)'!A24)</f>
        <v>400000</v>
      </c>
      <c r="C24" s="140">
        <f>IF(A24="-","-",((B24*Budget!$E$13*Budget!$H$7)+(B24*Budget!$E$14*Budget!$H$8)+(B24*Budget!$E$15*Budget!$H$9)))</f>
        <v>49600</v>
      </c>
      <c r="D24" s="140">
        <f>IF(A24="-","-",Budget!$E$109)</f>
        <v>48562.466666666667</v>
      </c>
      <c r="E24" s="140">
        <f t="shared" ref="E24:E29" si="4">IF(A24="-","-",C24-D24)</f>
        <v>1037.5333333333328</v>
      </c>
      <c r="F24" s="141">
        <f t="shared" ref="F24:F29" si="5">IF(A24="-","-",D24/B24)</f>
        <v>0.12140616666666666</v>
      </c>
      <c r="G24" s="118">
        <f>IF(A24="-","-",(D24/(((Budget!$C$83/Budget!$C$86)*Budget!$D$83)+((Budget!$C$84/Budget!$C$86)*Budget!$D$84)+((Budget!$C$85/Budget!$C$86)*Budget!$D$85)))*(1/Budget!$C$88))</f>
        <v>0.19581639784946234</v>
      </c>
    </row>
    <row r="25" spans="1:7" x14ac:dyDescent="0.35">
      <c r="A25" s="150">
        <f>IF(AND(MROUND($A$31-0.3,0.05)&gt;0,MROUND($A$31-0.3,0.05)&lt;1),MROUND($A$31-0.3,0.05),"-")</f>
        <v>0.25</v>
      </c>
      <c r="B25" s="138">
        <f>IF(A25="-","-",Budget!$E$5*'Cash Cost Sensitivities (1)'!A25)</f>
        <v>500000</v>
      </c>
      <c r="C25" s="140">
        <f>IF(A25="-","-",((B25*Budget!$E$13*Budget!$H$7)+(B25*Budget!$E$14*Budget!$H$8)+(B25*Budget!$E$15*Budget!$H$9)))</f>
        <v>62000</v>
      </c>
      <c r="D25" s="140">
        <f>IF(A25="-","-",Budget!$E$109)</f>
        <v>48562.466666666667</v>
      </c>
      <c r="E25" s="140">
        <f t="shared" si="4"/>
        <v>13437.533333333333</v>
      </c>
      <c r="F25" s="141">
        <f t="shared" si="5"/>
        <v>9.712493333333333E-2</v>
      </c>
      <c r="G25" s="118">
        <f>IF(A25="-","-",(D25/(((Budget!$C$83/Budget!$C$86)*Budget!$D$83)+((Budget!$C$84/Budget!$C$86)*Budget!$D$84)+((Budget!$C$85/Budget!$C$86)*Budget!$D$85)))*(1/Budget!$C$88))</f>
        <v>0.19581639784946234</v>
      </c>
    </row>
    <row r="26" spans="1:7" x14ac:dyDescent="0.35">
      <c r="A26" s="150">
        <f>IF(AND(MROUND($A$31-0.25,0.05)&gt;0,MROUND($A$31-0.25,0.05)&lt;1),MROUND($A$31-0.25,0.05),"-")</f>
        <v>0.30000000000000004</v>
      </c>
      <c r="B26" s="138">
        <f>IF(A26="-","-",Budget!$E$5*'Cash Cost Sensitivities (1)'!A26)</f>
        <v>600000.00000000012</v>
      </c>
      <c r="C26" s="140">
        <f>IF(A26="-","-",((B26*Budget!$E$13*Budget!$H$7)+(B26*Budget!$E$14*Budget!$H$8)+(B26*Budget!$E$15*Budget!$H$9)))</f>
        <v>74400.000000000015</v>
      </c>
      <c r="D26" s="140">
        <f>IF(A26="-","-",Budget!$E$109)</f>
        <v>48562.466666666667</v>
      </c>
      <c r="E26" s="140">
        <f t="shared" si="4"/>
        <v>25837.533333333347</v>
      </c>
      <c r="F26" s="141">
        <f t="shared" si="5"/>
        <v>8.0937444444444423E-2</v>
      </c>
      <c r="G26" s="118">
        <f>IF(A26="-","-",(D26/(((Budget!$C$83/Budget!$C$86)*Budget!$D$83)+((Budget!$C$84/Budget!$C$86)*Budget!$D$84)+((Budget!$C$85/Budget!$C$86)*Budget!$D$85)))*(1/Budget!$C$88))</f>
        <v>0.19581639784946234</v>
      </c>
    </row>
    <row r="27" spans="1:7" x14ac:dyDescent="0.35">
      <c r="A27" s="150">
        <f>IF(AND(MROUND($A$31-0.2,0.05)&gt;0,MROUND($A$31-0.2,0.05)&lt;1),MROUND($A$31-0.2,0.05),"-")</f>
        <v>0.35000000000000003</v>
      </c>
      <c r="B27" s="138">
        <f>IF(A27="-","-",Budget!$E$5*'Cash Cost Sensitivities (1)'!A27)</f>
        <v>700000.00000000012</v>
      </c>
      <c r="C27" s="140">
        <f>IF(A27="-","-",((B27*Budget!$E$13*Budget!$H$7)+(B27*Budget!$E$14*Budget!$H$8)+(B27*Budget!$E$15*Budget!$H$9)))</f>
        <v>86800.000000000015</v>
      </c>
      <c r="D27" s="140">
        <f>IF(A27="-","-",Budget!$E$109)</f>
        <v>48562.466666666667</v>
      </c>
      <c r="E27" s="140">
        <f t="shared" si="4"/>
        <v>38237.533333333347</v>
      </c>
      <c r="F27" s="141">
        <f t="shared" si="5"/>
        <v>6.937495238095237E-2</v>
      </c>
      <c r="G27" s="118">
        <f>IF(A27="-","-",(D27/(((Budget!$C$83/Budget!$C$86)*Budget!$D$83)+((Budget!$C$84/Budget!$C$86)*Budget!$D$84)+((Budget!$C$85/Budget!$C$86)*Budget!$D$85)))*(1/Budget!$C$88))</f>
        <v>0.19581639784946234</v>
      </c>
    </row>
    <row r="28" spans="1:7" x14ac:dyDescent="0.35">
      <c r="A28" s="150">
        <f>IF(AND(MROUND($A$31-0.15,0.05)&gt;0,MROUND($A$31-0.15,0.05)&lt;1),MROUND($A$31-0.15,0.05),"-")</f>
        <v>0.4</v>
      </c>
      <c r="B28" s="138">
        <f>IF(A28="-","-",Budget!$E$5*'Cash Cost Sensitivities (1)'!A28)</f>
        <v>800000</v>
      </c>
      <c r="C28" s="140">
        <f>IF(A28="-","-",((B28*Budget!$E$13*Budget!$H$7)+(B28*Budget!$E$14*Budget!$H$8)+(B28*Budget!$E$15*Budget!$H$9)))</f>
        <v>99200</v>
      </c>
      <c r="D28" s="140">
        <f>IF(A28="-","-",Budget!$E$109)</f>
        <v>48562.466666666667</v>
      </c>
      <c r="E28" s="140">
        <f t="shared" si="4"/>
        <v>50637.533333333333</v>
      </c>
      <c r="F28" s="141">
        <f t="shared" si="5"/>
        <v>6.0703083333333331E-2</v>
      </c>
      <c r="G28" s="118">
        <f>IF(A28="-","-",(D28/(((Budget!$C$83/Budget!$C$86)*Budget!$D$83)+((Budget!$C$84/Budget!$C$86)*Budget!$D$84)+((Budget!$C$85/Budget!$C$86)*Budget!$D$85)))*(1/Budget!$C$88))</f>
        <v>0.19581639784946234</v>
      </c>
    </row>
    <row r="29" spans="1:7" x14ac:dyDescent="0.35">
      <c r="A29" s="150">
        <f>IF(AND(MROUND($A$31-0.1,0.05)&gt;0,MROUND($A$31-0.1,0.05)&lt;1),MROUND($A$31-0.1,0.05),"-")</f>
        <v>0.45</v>
      </c>
      <c r="B29" s="138">
        <f>IF(A29="-","-",Budget!$E$5*'Cash Cost Sensitivities (1)'!A29)</f>
        <v>900000</v>
      </c>
      <c r="C29" s="140">
        <f>IF(A29="-","-",((B29*Budget!$E$13*Budget!$H$7)+(B29*Budget!$E$14*Budget!$H$8)+(B29*Budget!$E$15*Budget!$H$9)))</f>
        <v>111600</v>
      </c>
      <c r="D29" s="140">
        <f>IF(A29="-","-",Budget!$E$109)</f>
        <v>48562.466666666667</v>
      </c>
      <c r="E29" s="140">
        <f t="shared" si="4"/>
        <v>63037.533333333333</v>
      </c>
      <c r="F29" s="141">
        <f t="shared" si="5"/>
        <v>5.3958296296296296E-2</v>
      </c>
      <c r="G29" s="118">
        <f>IF(A29="-","-",(D29/(((Budget!$C$83/Budget!$C$86)*Budget!$D$83)+((Budget!$C$84/Budget!$C$86)*Budget!$D$84)+((Budget!$C$85/Budget!$C$86)*Budget!$D$85)))*(1/Budget!$C$88))</f>
        <v>0.19581639784946234</v>
      </c>
    </row>
    <row r="30" spans="1:7" x14ac:dyDescent="0.35">
      <c r="A30" s="150">
        <f>IF(AND(MROUND($A$31-0.05,0.05)&gt;0,MROUND($A$31-0.05,0.05)&lt;1),MROUND($A$31-0.05,0.05),"-")</f>
        <v>0.5</v>
      </c>
      <c r="B30" s="138">
        <f>IF(A30="-","-",Budget!$E$5*'Cash Cost Sensitivities (1)'!A30)</f>
        <v>1000000</v>
      </c>
      <c r="C30" s="140">
        <f>IF(A30="-","-",((B30*Budget!$E$13*Budget!$H$7)+(B30*Budget!$E$14*Budget!$H$8)+(B30*Budget!$E$15*Budget!$H$9)))</f>
        <v>124000</v>
      </c>
      <c r="D30" s="140">
        <f>IF(A30="-","-",Budget!$E$109)</f>
        <v>48562.466666666667</v>
      </c>
      <c r="E30" s="140">
        <f>IF(A30="-","-",C30-D30)</f>
        <v>75437.533333333326</v>
      </c>
      <c r="F30" s="141">
        <f>IF(A30="-","-",D30/B30)</f>
        <v>4.8562466666666665E-2</v>
      </c>
      <c r="G30" s="118">
        <f>IF(A30="-","-",(D30/(((Budget!$C$83/Budget!$C$86)*Budget!$D$83)+((Budget!$C$84/Budget!$C$86)*Budget!$D$84)+((Budget!$C$85/Budget!$C$86)*Budget!$D$85)))*(1/Budget!$C$88))</f>
        <v>0.19581639784946234</v>
      </c>
    </row>
    <row r="31" spans="1:7" x14ac:dyDescent="0.35">
      <c r="A31" s="144">
        <f>Budget!$E$11</f>
        <v>0.52499999999999991</v>
      </c>
      <c r="B31" s="143">
        <f>Budget!$C$86</f>
        <v>1049999.9999999998</v>
      </c>
      <c r="C31" s="132">
        <f>Budget!$E$86</f>
        <v>130199.99999999999</v>
      </c>
      <c r="D31" s="132">
        <f>Budget!E109</f>
        <v>48562.466666666667</v>
      </c>
      <c r="E31" s="151">
        <f>Budget!$E$117</f>
        <v>81637.533333333326</v>
      </c>
      <c r="F31" s="152">
        <f>Budget!$E$118</f>
        <v>4.6249968253968265E-2</v>
      </c>
      <c r="G31" s="144">
        <f>Budget!$E$119</f>
        <v>0.19581639784946234</v>
      </c>
    </row>
    <row r="32" spans="1:7" x14ac:dyDescent="0.35">
      <c r="A32" s="150">
        <f>IF(AND(MROUND($A$31+0.05,0.05)&gt;0,MROUND($A$31+0.05,0.05)&lt;1),MROUND($A$31+0.05,0.05),"-")</f>
        <v>0.60000000000000009</v>
      </c>
      <c r="B32" s="138">
        <f>IF(A32="-","-",Budget!$E$5*'Cash Cost Sensitivities (1)'!A32)</f>
        <v>1200000.0000000002</v>
      </c>
      <c r="C32" s="140">
        <f>IF(A32="-","-",((B32*Budget!$E$13*Budget!$H$7)+(B32*Budget!$E$14*Budget!$H$8)+(B32*Budget!$E$15*Budget!$H$9)))</f>
        <v>148800.00000000003</v>
      </c>
      <c r="D32" s="140">
        <f>IF(A32="-","-",Budget!$E$109)</f>
        <v>48562.466666666667</v>
      </c>
      <c r="E32" s="140">
        <f>IF(A32="-","-",C32-D32)</f>
        <v>100237.53333333335</v>
      </c>
      <c r="F32" s="141">
        <f>IF(A32="-","-",D32/B32)</f>
        <v>4.0468722222222211E-2</v>
      </c>
      <c r="G32" s="118">
        <f>IF(A32="-","-",(D32/(((Budget!$C$83/Budget!$C$86)*Budget!$D$83)+((Budget!$C$84/Budget!$C$86)*Budget!$D$84)+((Budget!$C$85/Budget!$C$86)*Budget!$D$85)))*(1/Budget!$C$88))</f>
        <v>0.19581639784946234</v>
      </c>
    </row>
    <row r="33" spans="1:7" x14ac:dyDescent="0.35">
      <c r="A33" s="150">
        <f>IF(AND(MROUND($A$31+0.1,0.05)&gt;0,MROUND($A$31+0.1,0.05)&lt;1),MROUND($A$31+0.1,0.05),"-")</f>
        <v>0.65</v>
      </c>
      <c r="B33" s="138">
        <f>IF(A33="-","-",Budget!$E$5*'Cash Cost Sensitivities (1)'!A33)</f>
        <v>1300000</v>
      </c>
      <c r="C33" s="140">
        <f>IF(A33="-","-",((B33*Budget!$E$13*Budget!$H$7)+(B33*Budget!$E$14*Budget!$H$8)+(B33*Budget!$E$15*Budget!$H$9)))</f>
        <v>161200</v>
      </c>
      <c r="D33" s="140">
        <f>IF(A33="-","-",Budget!$E$109)</f>
        <v>48562.466666666667</v>
      </c>
      <c r="E33" s="140">
        <f t="shared" ref="E33:E38" si="6">IF(A33="-","-",C33-D33)</f>
        <v>112637.53333333333</v>
      </c>
      <c r="F33" s="141">
        <f t="shared" ref="F33:F38" si="7">IF(A33="-","-",D33/B33)</f>
        <v>3.7355743589743591E-2</v>
      </c>
      <c r="G33" s="118">
        <f>IF(A33="-","-",(D33/(((Budget!$C$83/Budget!$C$86)*Budget!$D$83)+((Budget!$C$84/Budget!$C$86)*Budget!$D$84)+((Budget!$C$85/Budget!$C$86)*Budget!$D$85)))*(1/Budget!$C$88))</f>
        <v>0.19581639784946234</v>
      </c>
    </row>
    <row r="34" spans="1:7" s="109" customFormat="1" x14ac:dyDescent="0.35">
      <c r="A34" s="150">
        <f>IF(AND(MROUND($A$31+0.15,0.05)&gt;0,MROUND($A$31+0.15,0.05)&lt;1),MROUND($A$31+0.15,0.05),"-")</f>
        <v>0.70000000000000007</v>
      </c>
      <c r="B34" s="138">
        <f>IF(A34="-","-",Budget!$E$5*'Cash Cost Sensitivities (1)'!A34)</f>
        <v>1400000.0000000002</v>
      </c>
      <c r="C34" s="140">
        <f>IF(A34="-","-",((B34*Budget!$E$13*Budget!$H$7)+(B34*Budget!$E$14*Budget!$H$8)+(B34*Budget!$E$15*Budget!$H$9)))</f>
        <v>173600.00000000003</v>
      </c>
      <c r="D34" s="140">
        <f>IF(A34="-","-",Budget!$E$109)</f>
        <v>48562.466666666667</v>
      </c>
      <c r="E34" s="140">
        <f t="shared" si="6"/>
        <v>125037.53333333335</v>
      </c>
      <c r="F34" s="141">
        <f t="shared" si="7"/>
        <v>3.4687476190476185E-2</v>
      </c>
      <c r="G34" s="118">
        <f>IF(A34="-","-",(D34/(((Budget!$C$83/Budget!$C$86)*Budget!$D$83)+((Budget!$C$84/Budget!$C$86)*Budget!$D$84)+((Budget!$C$85/Budget!$C$86)*Budget!$D$85)))*(1/Budget!$C$88))</f>
        <v>0.19581639784946234</v>
      </c>
    </row>
    <row r="35" spans="1:7" ht="15.75" customHeight="1" x14ac:dyDescent="0.35">
      <c r="A35" s="150">
        <f>IF(AND(MROUND($A$31+0.2,0.05)&gt;0,MROUND($A$31+0.2,0.05)&lt;1),MROUND($A$31+0.2,0.05),"-")</f>
        <v>0.75</v>
      </c>
      <c r="B35" s="138">
        <f>IF(A35="-","-",Budget!$E$5*'Cash Cost Sensitivities (1)'!A35)</f>
        <v>1500000</v>
      </c>
      <c r="C35" s="140">
        <f>IF(A35="-","-",((B35*Budget!$E$13*Budget!$H$7)+(B35*Budget!$E$14*Budget!$H$8)+(B35*Budget!$E$15*Budget!$H$9)))</f>
        <v>186000</v>
      </c>
      <c r="D35" s="140">
        <f>IF(A35="-","-",Budget!$E$109)</f>
        <v>48562.466666666667</v>
      </c>
      <c r="E35" s="140">
        <f t="shared" si="6"/>
        <v>137437.53333333333</v>
      </c>
      <c r="F35" s="141">
        <f t="shared" si="7"/>
        <v>3.2374977777777779E-2</v>
      </c>
      <c r="G35" s="118">
        <f>IF(A35="-","-",(D35/(((Budget!$C$83/Budget!$C$86)*Budget!$D$83)+((Budget!$C$84/Budget!$C$86)*Budget!$D$84)+((Budget!$C$85/Budget!$C$86)*Budget!$D$85)))*(1/Budget!$C$88))</f>
        <v>0.19581639784946234</v>
      </c>
    </row>
    <row r="36" spans="1:7" ht="15.75" customHeight="1" x14ac:dyDescent="0.35">
      <c r="A36" s="150">
        <f>IF(AND(MROUND($A$31+0.25,0.05)&gt;0,MROUND($A$31+0.25,0.05)&lt;1),MROUND($A$31+0.25,0.05),"-")</f>
        <v>0.8</v>
      </c>
      <c r="B36" s="138">
        <f>IF(A36="-","-",Budget!$E$5*'Cash Cost Sensitivities (1)'!A36)</f>
        <v>1600000</v>
      </c>
      <c r="C36" s="140">
        <f>IF(A36="-","-",((B36*Budget!$E$13*Budget!$H$7)+(B36*Budget!$E$14*Budget!$H$8)+(B36*Budget!$E$15*Budget!$H$9)))</f>
        <v>198400</v>
      </c>
      <c r="D36" s="140">
        <f>IF(A36="-","-",Budget!$E$109)</f>
        <v>48562.466666666667</v>
      </c>
      <c r="E36" s="140">
        <f t="shared" si="6"/>
        <v>149837.53333333333</v>
      </c>
      <c r="F36" s="141">
        <f t="shared" si="7"/>
        <v>3.0351541666666666E-2</v>
      </c>
      <c r="G36" s="118">
        <f>IF(A36="-","-",(D36/(((Budget!$C$83/Budget!$C$86)*Budget!$D$83)+((Budget!$C$84/Budget!$C$86)*Budget!$D$84)+((Budget!$C$85/Budget!$C$86)*Budget!$D$85)))*(1/Budget!$C$88))</f>
        <v>0.19581639784946234</v>
      </c>
    </row>
    <row r="37" spans="1:7" x14ac:dyDescent="0.35">
      <c r="A37" s="150">
        <f>IF(AND(MROUND($A$31+0.3,0.05)&gt;0,MROUND($A$31+0.3,0.05)&lt;1),MROUND($A$31+0.3,0.05),"-")</f>
        <v>0.85000000000000009</v>
      </c>
      <c r="B37" s="138">
        <f>IF(A37="-","-",Budget!$E$5*'Cash Cost Sensitivities (1)'!A37)</f>
        <v>1700000.0000000002</v>
      </c>
      <c r="C37" s="140">
        <f>IF(A37="-","-",((B37*Budget!$E$13*Budget!$H$7)+(B37*Budget!$E$14*Budget!$H$8)+(B37*Budget!$E$15*Budget!$H$9)))</f>
        <v>210800.00000000003</v>
      </c>
      <c r="D37" s="140">
        <f>IF(A37="-","-",Budget!$E$109)</f>
        <v>48562.466666666667</v>
      </c>
      <c r="E37" s="140">
        <f t="shared" si="6"/>
        <v>162237.53333333335</v>
      </c>
      <c r="F37" s="141">
        <f t="shared" si="7"/>
        <v>2.8566156862745093E-2</v>
      </c>
      <c r="G37" s="118">
        <f>IF(A37="-","-",(D37/(((Budget!$C$83/Budget!$C$86)*Budget!$D$83)+((Budget!$C$84/Budget!$C$86)*Budget!$D$84)+((Budget!$C$85/Budget!$C$86)*Budget!$D$85)))*(1/Budget!$C$88))</f>
        <v>0.19581639784946234</v>
      </c>
    </row>
    <row r="38" spans="1:7" x14ac:dyDescent="0.35">
      <c r="A38" s="150">
        <f>IF(AND(MROUND($A$31+0.35,0.05)&gt;0,MROUND($A$31+0.35,0.05)&lt;1),MROUND($A$31+0.35,0.05),"-")</f>
        <v>0.9</v>
      </c>
      <c r="B38" s="138">
        <f>IF(A38="-","-",Budget!$E$5*'Cash Cost Sensitivities (1)'!A38)</f>
        <v>1800000</v>
      </c>
      <c r="C38" s="140">
        <f>IF(A38="-","-",((B38*Budget!$E$13*Budget!$H$7)+(B38*Budget!$E$14*Budget!$H$8)+(B38*Budget!$E$15*Budget!$H$9)))</f>
        <v>223200</v>
      </c>
      <c r="D38" s="140">
        <f>IF(A38="-","-",Budget!$E$109)</f>
        <v>48562.466666666667</v>
      </c>
      <c r="E38" s="140">
        <f t="shared" si="6"/>
        <v>174637.53333333333</v>
      </c>
      <c r="F38" s="141">
        <f t="shared" si="7"/>
        <v>2.6979148148148148E-2</v>
      </c>
      <c r="G38" s="118">
        <f>IF(A38="-","-",(D38/(((Budget!$C$83/Budget!$C$86)*Budget!$D$83)+((Budget!$C$84/Budget!$C$86)*Budget!$D$84)+((Budget!$C$85/Budget!$C$86)*Budget!$D$85)))*(1/Budget!$C$88))</f>
        <v>0.19581639784946234</v>
      </c>
    </row>
    <row r="39" spans="1:7" ht="13.5" customHeight="1" x14ac:dyDescent="0.35"/>
    <row r="50" spans="1:9" ht="12" customHeight="1" x14ac:dyDescent="0.35">
      <c r="A50" s="153"/>
      <c r="B50" s="154"/>
      <c r="C50" s="155"/>
      <c r="D50" s="155"/>
      <c r="E50" s="155"/>
      <c r="F50" s="156"/>
      <c r="G50" s="153"/>
    </row>
    <row r="52" spans="1:9" ht="24" customHeight="1" x14ac:dyDescent="0.45">
      <c r="A52" s="157"/>
      <c r="B52" s="157"/>
      <c r="C52" s="157"/>
      <c r="D52" s="157"/>
      <c r="E52" s="157"/>
      <c r="F52" s="157"/>
    </row>
    <row r="54" spans="1:9" x14ac:dyDescent="0.35">
      <c r="I54" s="158"/>
    </row>
    <row r="88" spans="1:1" hidden="1" x14ac:dyDescent="0.35">
      <c r="A88" s="107" t="s">
        <v>91</v>
      </c>
    </row>
    <row r="89" spans="1:1" hidden="1" x14ac:dyDescent="0.35">
      <c r="A89" s="107">
        <f>Budget!H5</f>
        <v>0.01</v>
      </c>
    </row>
    <row r="90" spans="1:1" hidden="1" x14ac:dyDescent="0.35">
      <c r="A90" s="107" t="s">
        <v>153</v>
      </c>
    </row>
    <row r="91" spans="1:1" hidden="1" x14ac:dyDescent="0.35">
      <c r="A91" s="159">
        <f>Budget!E11</f>
        <v>0.52499999999999991</v>
      </c>
    </row>
  </sheetData>
  <sheetProtection algorithmName="SHA-512" hashValue="3S7hxztK4By9CkkcnI1ZPjXLYvvTQHSiFy4C3HhPqW/EZ1KGM7DYH84cU9ohO1WZcfRGCDKM0bXZHW7EWwU58A==" saltValue="pViMXxNE8y2Y/zKk3VtJOw==" spinCount="100000" sheet="1" objects="1" scenarios="1"/>
  <mergeCells count="3">
    <mergeCell ref="A1:G1"/>
    <mergeCell ref="A3:G3"/>
    <mergeCell ref="A22:G22"/>
  </mergeCells>
  <phoneticPr fontId="5" type="noConversion"/>
  <conditionalFormatting sqref="A5:A19">
    <cfRule type="cellIs" dxfId="9" priority="7" stopIfTrue="1" operator="equal">
      <formula>$A$104</formula>
    </cfRule>
  </conditionalFormatting>
  <conditionalFormatting sqref="A24:A38">
    <cfRule type="cellIs" dxfId="8" priority="5" stopIfTrue="1" operator="equal">
      <formula>$A$107</formula>
    </cfRule>
  </conditionalFormatting>
  <conditionalFormatting sqref="E1:E4 E12 E20:E21">
    <cfRule type="cellIs" dxfId="7" priority="22" operator="lessThan">
      <formula>0</formula>
    </cfRule>
  </conditionalFormatting>
  <conditionalFormatting sqref="E5:E11">
    <cfRule type="cellIs" dxfId="6" priority="2" stopIfTrue="1" operator="lessThan">
      <formula>0</formula>
    </cfRule>
  </conditionalFormatting>
  <conditionalFormatting sqref="E13:E19">
    <cfRule type="cellIs" dxfId="5" priority="1" stopIfTrue="1" operator="lessThan">
      <formula>0</formula>
    </cfRule>
  </conditionalFormatting>
  <conditionalFormatting sqref="E23 E31 E50:E65533">
    <cfRule type="cellIs" dxfId="4" priority="21" operator="lessThan">
      <formula>0</formula>
    </cfRule>
  </conditionalFormatting>
  <conditionalFormatting sqref="E24:E30">
    <cfRule type="cellIs" dxfId="3" priority="4" stopIfTrue="1" operator="lessThan">
      <formula>0</formula>
    </cfRule>
  </conditionalFormatting>
  <conditionalFormatting sqref="E32:E38">
    <cfRule type="cellIs" dxfId="2" priority="3" stopIfTrue="1" operator="lessThan">
      <formula>0</formula>
    </cfRule>
  </conditionalFormatting>
  <pageMargins left="0.75" right="0.75" top="1" bottom="1" header="0.5" footer="0.5"/>
  <pageSetup orientation="landscape" horizontalDpi="4294967292" verticalDpi="4294967292" r:id="rId1"/>
  <headerFooter alignWithMargins="0"/>
  <rowBreaks count="1" manualBreakCount="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I37"/>
  <sheetViews>
    <sheetView topLeftCell="A20" zoomScaleNormal="100" workbookViewId="0">
      <selection activeCell="D14" sqref="D14"/>
    </sheetView>
  </sheetViews>
  <sheetFormatPr defaultColWidth="11" defaultRowHeight="15.5" x14ac:dyDescent="0.35"/>
  <cols>
    <col min="1" max="3" width="7.08203125" style="107" customWidth="1"/>
    <col min="4" max="4" width="17.33203125" style="107" bestFit="1" customWidth="1"/>
    <col min="5" max="5" width="12.08203125" style="107" bestFit="1" customWidth="1"/>
    <col min="6" max="6" width="11.5" style="107" bestFit="1" customWidth="1"/>
    <col min="7" max="7" width="12.08203125" style="107" bestFit="1" customWidth="1"/>
    <col min="8" max="8" width="11.83203125" style="107" bestFit="1" customWidth="1"/>
    <col min="9" max="9" width="17" style="107" customWidth="1"/>
    <col min="10" max="16384" width="11" style="107"/>
  </cols>
  <sheetData>
    <row r="1" spans="1:9" ht="21" x14ac:dyDescent="0.5">
      <c r="A1" s="326" t="s">
        <v>151</v>
      </c>
      <c r="B1" s="326"/>
      <c r="C1" s="326"/>
      <c r="D1" s="326"/>
      <c r="E1" s="326"/>
      <c r="F1" s="326"/>
      <c r="G1" s="326"/>
      <c r="H1" s="326"/>
      <c r="I1" s="326"/>
    </row>
    <row r="3" spans="1:9" ht="18.5" x14ac:dyDescent="0.45">
      <c r="A3" s="327" t="s">
        <v>47</v>
      </c>
      <c r="B3" s="327"/>
      <c r="C3" s="327"/>
      <c r="D3" s="327"/>
      <c r="E3" s="327"/>
      <c r="F3" s="327"/>
      <c r="G3" s="327"/>
      <c r="H3" s="327"/>
      <c r="I3" s="327"/>
    </row>
    <row r="5" spans="1:9" s="109" customFormat="1" ht="29" x14ac:dyDescent="0.35">
      <c r="A5" s="331" t="s">
        <v>93</v>
      </c>
      <c r="B5" s="331"/>
      <c r="C5" s="331"/>
      <c r="D5" s="108" t="s">
        <v>88</v>
      </c>
      <c r="E5" s="108" t="s">
        <v>103</v>
      </c>
      <c r="F5" s="108" t="s">
        <v>89</v>
      </c>
      <c r="G5" s="108" t="s">
        <v>42</v>
      </c>
      <c r="H5" s="108" t="s">
        <v>43</v>
      </c>
      <c r="I5" s="108" t="s">
        <v>133</v>
      </c>
    </row>
    <row r="6" spans="1:9" ht="16" thickBot="1" x14ac:dyDescent="0.4">
      <c r="A6" s="110" t="s">
        <v>94</v>
      </c>
      <c r="B6" s="110" t="s">
        <v>95</v>
      </c>
      <c r="C6" s="110" t="s">
        <v>96</v>
      </c>
      <c r="D6" s="111"/>
      <c r="E6" s="111"/>
      <c r="F6" s="111"/>
      <c r="G6" s="111"/>
      <c r="H6" s="111"/>
      <c r="I6" s="111"/>
    </row>
    <row r="7" spans="1:9" x14ac:dyDescent="0.35">
      <c r="A7" s="112">
        <f>IF($A$14-0.07&gt;0,$A$14-0.07,"-")</f>
        <v>0.06</v>
      </c>
      <c r="B7" s="112">
        <f>IF($B$14-0.07&gt;0,$B$14-0.07,"-")</f>
        <v>3.9999999999999994E-2</v>
      </c>
      <c r="C7" s="113">
        <f>IF($C$14-0.035&gt;0,$C$14-0.035,"-")</f>
        <v>3.5000000000000003E-2</v>
      </c>
      <c r="D7" s="114">
        <f>IF(OR(A7="-",B7="-",C7="-"),"-",Budget!$C$86)</f>
        <v>1049999.9999999998</v>
      </c>
      <c r="E7" s="114">
        <f>IF(OR(A7="-",B7="-",C7="-"),"-",((D7*Budget!$E$13*A7)+(D7*Budget!$E$14*B7)+(D7*Budget!$E$15*C7)))</f>
        <v>58537.499999999993</v>
      </c>
      <c r="F7" s="115">
        <f>IF(OR(A7="-",B7="-",C7="-"),"-",Budget!$E$109)</f>
        <v>48562.466666666667</v>
      </c>
      <c r="G7" s="116">
        <f t="shared" ref="G7:G13" si="0">IF(OR(A7="-",B7="-",C7="-"),"-",E7-F7)</f>
        <v>9975.0333333333256</v>
      </c>
      <c r="H7" s="117">
        <f t="shared" ref="H7:H12" si="1">IF(OR(A7="-",B7="-",C7="-"),"-",F7/D7)</f>
        <v>4.6249968253968265E-2</v>
      </c>
      <c r="I7" s="118">
        <f>IF(OR(A7="-",B7="-",C7="-"),"-",(F7/(((Budget!$C$83/Budget!$C$86)*A7)+((Budget!$C$84/Budget!$C$86)*B7)+((Budget!$C$85/Budget!$C$86)*C7)))*(1/Budget!$C$88))</f>
        <v>0.43553781763826604</v>
      </c>
    </row>
    <row r="8" spans="1:9" x14ac:dyDescent="0.35">
      <c r="A8" s="112">
        <f>IF($A$14-0.06&gt;0,$A$14-0.06,"-")</f>
        <v>7.0000000000000007E-2</v>
      </c>
      <c r="B8" s="112">
        <f>IF($B$14-0.06&gt;0,$B$14-0.06,"-")</f>
        <v>0.05</v>
      </c>
      <c r="C8" s="113">
        <f>IF($C$14-0.03&gt;0,$C$14-0.03,"-")</f>
        <v>4.0000000000000008E-2</v>
      </c>
      <c r="D8" s="114">
        <f>IF(OR(A8="-",B8="-",C8="-"),"-",Budget!$C$86)</f>
        <v>1049999.9999999998</v>
      </c>
      <c r="E8" s="114">
        <f>IF(OR(A8="-",B8="-",C8="-"),"-",((D8*Budget!$E$13*A8)+(D8*Budget!$E$14*B8)+(D8*Budget!$E$15*C8)))</f>
        <v>68775</v>
      </c>
      <c r="F8" s="115">
        <f>IF(OR(A8="-",B8="-",C8="-"),"-",Budget!$E$109)</f>
        <v>48562.466666666667</v>
      </c>
      <c r="G8" s="116">
        <f t="shared" si="0"/>
        <v>20212.533333333333</v>
      </c>
      <c r="H8" s="117">
        <f t="shared" si="1"/>
        <v>4.6249968253968265E-2</v>
      </c>
      <c r="I8" s="118">
        <f>IF(OR(A8="-",B8="-",C8="-"),"-",(F8/(((Budget!$C$83/Budget!$C$86)*A8)+((Budget!$C$84/Budget!$C$86)*B8)+((Budget!$C$85/Budget!$C$86)*C8)))*(1/Budget!$C$88))</f>
        <v>0.37070585241730275</v>
      </c>
    </row>
    <row r="9" spans="1:9" x14ac:dyDescent="0.35">
      <c r="A9" s="112">
        <f>IF($A$14-0.05&gt;0,$A$14-0.05,"-")</f>
        <v>0.08</v>
      </c>
      <c r="B9" s="112">
        <f>IF($B$14-0.05&gt;0,$B$14-0.05,"-")</f>
        <v>0.06</v>
      </c>
      <c r="C9" s="113">
        <f>IF($C$14-0.025&gt;0,$C$14-0.025,"-")</f>
        <v>4.5000000000000005E-2</v>
      </c>
      <c r="D9" s="114">
        <f>IF(OR(A9="-",B9="-",C9="-"),"-",Budget!$C$86)</f>
        <v>1049999.9999999998</v>
      </c>
      <c r="E9" s="114">
        <f>IF(OR(A9="-",B9="-",C9="-"),"-",((D9*Budget!$E$13*A9)+(D9*Budget!$E$14*B9)+(D9*Budget!$E$15*C9)))</f>
        <v>79012.499999999985</v>
      </c>
      <c r="F9" s="115">
        <f>IF(OR(A9="-",B9="-",C9="-"),"-",Budget!$E$109)</f>
        <v>48562.466666666667</v>
      </c>
      <c r="G9" s="116">
        <f t="shared" si="0"/>
        <v>30450.033333333318</v>
      </c>
      <c r="H9" s="117">
        <f t="shared" si="1"/>
        <v>4.6249968253968265E-2</v>
      </c>
      <c r="I9" s="118">
        <f>IF(OR(A9="-",B9="-",C9="-"),"-",(F9/(((Budget!$C$83/Budget!$C$86)*A9)+((Budget!$C$84/Budget!$C$86)*B9)+((Budget!$C$85/Budget!$C$86)*C9)))*(1/Budget!$C$88))</f>
        <v>0.32267419712070877</v>
      </c>
    </row>
    <row r="10" spans="1:9" x14ac:dyDescent="0.35">
      <c r="A10" s="112">
        <f>IF($A$14-0.04&gt;0,$A$14-0.04,"-")</f>
        <v>0.09</v>
      </c>
      <c r="B10" s="112">
        <f>IF($B$14-0.04&gt;0,$B$14-0.04,"-")</f>
        <v>7.0000000000000007E-2</v>
      </c>
      <c r="C10" s="113">
        <f>IF($C$14-0.02&gt;0,$C$14-0.02,"-")</f>
        <v>0.05</v>
      </c>
      <c r="D10" s="114">
        <f>IF(OR(A10="-",B10="-",C10="-"),"-",Budget!$C$86)</f>
        <v>1049999.9999999998</v>
      </c>
      <c r="E10" s="114">
        <f>IF(OR(A10="-",B10="-",C10="-"),"-",((D10*Budget!$E$13*A10)+(D10*Budget!$E$14*B10)+(D10*Budget!$E$15*C10)))</f>
        <v>89249.999999999985</v>
      </c>
      <c r="F10" s="115">
        <f>IF(OR(A10="-",B10="-",C10="-"),"-",Budget!$E$109)</f>
        <v>48562.466666666667</v>
      </c>
      <c r="G10" s="116">
        <f t="shared" si="0"/>
        <v>40687.533333333318</v>
      </c>
      <c r="H10" s="117">
        <f t="shared" si="1"/>
        <v>4.6249968253968265E-2</v>
      </c>
      <c r="I10" s="118">
        <f>IF(OR(A10="-",B10="-",C10="-"),"-",(F10/(((Budget!$C$83/Budget!$C$86)*A10)+((Budget!$C$84/Budget!$C$86)*B10)+((Budget!$C$85/Budget!$C$86)*C10)))*(1/Budget!$C$88))</f>
        <v>0.28566156862745101</v>
      </c>
    </row>
    <row r="11" spans="1:9" x14ac:dyDescent="0.35">
      <c r="A11" s="112">
        <f>IF($A$14-0.03&gt;0,$A$14-0.03,"-")</f>
        <v>0.1</v>
      </c>
      <c r="B11" s="112">
        <f>IF($B$14-0.03&gt;0,$B$14-0.03,"-")</f>
        <v>0.08</v>
      </c>
      <c r="C11" s="113">
        <f>IF($C$14-0.015&gt;0,$C$14-0.015,"-")</f>
        <v>5.5000000000000007E-2</v>
      </c>
      <c r="D11" s="114">
        <f>IF(OR(A11="-",B11="-",C11="-"),"-",Budget!$C$86)</f>
        <v>1049999.9999999998</v>
      </c>
      <c r="E11" s="114">
        <f>IF(OR(A11="-",B11="-",C11="-"),"-",((D11*Budget!$E$13*A11)+(D11*Budget!$E$14*B11)+(D11*Budget!$E$15*C11)))</f>
        <v>99487.5</v>
      </c>
      <c r="F11" s="115">
        <f>IF(OR(A11="-",B11="-",C11="-"),"-",Budget!$E$109)</f>
        <v>48562.466666666667</v>
      </c>
      <c r="G11" s="116">
        <f t="shared" si="0"/>
        <v>50925.033333333333</v>
      </c>
      <c r="H11" s="117">
        <f t="shared" si="1"/>
        <v>4.6249968253968265E-2</v>
      </c>
      <c r="I11" s="118">
        <f>IF(OR(A11="-",B11="-",C11="-"),"-",(F11/(((Budget!$C$83/Budget!$C$86)*A11)+((Budget!$C$84/Budget!$C$86)*B11)+((Budget!$C$85/Budget!$C$86)*C11)))*(1/Budget!$C$88))</f>
        <v>0.25626631486367629</v>
      </c>
    </row>
    <row r="12" spans="1:9" x14ac:dyDescent="0.35">
      <c r="A12" s="112">
        <f>IF($A$14-0.02&gt;0,$A$14-0.02,"-")</f>
        <v>0.11</v>
      </c>
      <c r="B12" s="112">
        <f>IF($B$14-0.02&gt;0,$B$14-0.02,"-")</f>
        <v>0.09</v>
      </c>
      <c r="C12" s="113">
        <f>IF($C$14-0.01&gt;0,$C$14-0.01,"-")</f>
        <v>6.0000000000000005E-2</v>
      </c>
      <c r="D12" s="114">
        <f>IF(OR(A12="-",B12="-",C12="-"),"-",Budget!$C$86)</f>
        <v>1049999.9999999998</v>
      </c>
      <c r="E12" s="114">
        <f>IF(OR(A12="-",B12="-",C12="-"),"-",((D12*Budget!$E$13*A12)+(D12*Budget!$E$14*B12)+(D12*Budget!$E$15*C12)))</f>
        <v>109724.99999999999</v>
      </c>
      <c r="F12" s="115">
        <f>IF(OR(A12="-",B12="-",C12="-"),"-",Budget!$E$109)</f>
        <v>48562.466666666667</v>
      </c>
      <c r="G12" s="116">
        <f t="shared" si="0"/>
        <v>61162.533333333318</v>
      </c>
      <c r="H12" s="117">
        <f t="shared" si="1"/>
        <v>4.6249968253968265E-2</v>
      </c>
      <c r="I12" s="118">
        <f>IF(OR(A12="-",B12="-",C12="-"),"-",(F12/(((Budget!$C$83/Budget!$C$86)*A12)+((Budget!$C$84/Budget!$C$86)*B12)+((Budget!$C$85/Budget!$C$86)*C12)))*(1/Budget!$C$88))</f>
        <v>0.23235629984051034</v>
      </c>
    </row>
    <row r="13" spans="1:9" x14ac:dyDescent="0.35">
      <c r="A13" s="112">
        <f>IF($A$14-0.01&gt;0,$A$14-0.01,"-")</f>
        <v>0.12000000000000001</v>
      </c>
      <c r="B13" s="112">
        <f>IF($B$14-0.01&gt;0,$B$14-0.01,"-")</f>
        <v>0.1</v>
      </c>
      <c r="C13" s="113">
        <f>IF($C$14-0.005&gt;0,$C$14-0.005,"-")</f>
        <v>6.5000000000000002E-2</v>
      </c>
      <c r="D13" s="114">
        <f>IF(OR(A13="-",B13="-",C13="-"),"-",Budget!$C$86)</f>
        <v>1049999.9999999998</v>
      </c>
      <c r="E13" s="114">
        <f>IF(OR(A13="-",B13="-",C13="-"),"-",((D13*Budget!$E$13*A13)+(D13*Budget!$E$14*B13)+(D13*Budget!$E$15*C13)))</f>
        <v>119962.5</v>
      </c>
      <c r="F13" s="115">
        <f>IF(OR(A13="-",B13="-",C13="-"),"-",Budget!$E$109)</f>
        <v>48562.466666666667</v>
      </c>
      <c r="G13" s="116">
        <f t="shared" si="0"/>
        <v>71400.033333333326</v>
      </c>
      <c r="H13" s="117">
        <f>IF(OR(A13="-",B13="-",C13="-"),"-",F13/D13)</f>
        <v>4.6249968253968265E-2</v>
      </c>
      <c r="I13" s="118">
        <f>IF(OR(A13="-",B13="-",C13="-"),"-",(F13/(((Budget!$C$83/Budget!$C$86)*A13)+((Budget!$C$84/Budget!$C$86)*B13)+((Budget!$C$85/Budget!$C$86)*C13)))*(1/Budget!$C$88))</f>
        <v>0.21252720641867245</v>
      </c>
    </row>
    <row r="14" spans="1:9" x14ac:dyDescent="0.35">
      <c r="A14" s="119">
        <f>Budget!$H$7</f>
        <v>0.13</v>
      </c>
      <c r="B14" s="120">
        <f>Budget!$H$8</f>
        <v>0.11</v>
      </c>
      <c r="C14" s="121">
        <f>Budget!$H$9</f>
        <v>7.0000000000000007E-2</v>
      </c>
      <c r="D14" s="122">
        <f>Budget!$C$86</f>
        <v>1049999.9999999998</v>
      </c>
      <c r="E14" s="122">
        <f>Budget!$E$86</f>
        <v>130199.99999999999</v>
      </c>
      <c r="F14" s="123">
        <f>Budget!$E$109</f>
        <v>48562.466666666667</v>
      </c>
      <c r="G14" s="123">
        <f>Budget!$E$117</f>
        <v>81637.533333333326</v>
      </c>
      <c r="H14" s="121">
        <f>Budget!$E$118</f>
        <v>4.6249968253968265E-2</v>
      </c>
      <c r="I14" s="124">
        <f>Budget!$E$119</f>
        <v>0.19581639784946234</v>
      </c>
    </row>
    <row r="15" spans="1:9" x14ac:dyDescent="0.35">
      <c r="A15" s="112">
        <f>IF($A$14+0.01&gt;0,$A$14+0.01,"-")</f>
        <v>0.14000000000000001</v>
      </c>
      <c r="B15" s="112">
        <f>IF($B$14+0.01&gt;0,$B$14+0.01,"-")</f>
        <v>0.12</v>
      </c>
      <c r="C15" s="113">
        <f>IF($C$14+0.005&gt;0,$C$14+0.005,"-")</f>
        <v>7.5000000000000011E-2</v>
      </c>
      <c r="D15" s="114">
        <f>IF(OR(A15="-",B15="-",C15="-"),"-",Budget!$C$86)</f>
        <v>1049999.9999999998</v>
      </c>
      <c r="E15" s="114">
        <f>IF(OR(A15="-",B15="-",C15="-"),"-",((D15*Budget!$E$13*A15)+(D15*Budget!$E$14*B15)+(D15*Budget!$E$15*C15)))</f>
        <v>140437.5</v>
      </c>
      <c r="F15" s="115">
        <f>IF(OR(A15="-",B15="-",C15="-"),"-",Budget!$E$109)</f>
        <v>48562.466666666667</v>
      </c>
      <c r="G15" s="116">
        <f t="shared" ref="G15:G21" si="2">IF(OR(A15="-",B15="-",C15="-"),"-",E15-F15)</f>
        <v>91875.033333333326</v>
      </c>
      <c r="H15" s="117">
        <f>IF(OR(A15="-",B15="-",C15="-"),"-",F15/D15)</f>
        <v>4.6249968253968265E-2</v>
      </c>
      <c r="I15" s="118">
        <f>IF(OR(A15="-",B15="-",C15="-"),"-",(F15/(((Budget!$C$83/Budget!$C$86)*A15)+((Budget!$C$84/Budget!$C$86)*B15)+((Budget!$C$85/Budget!$C$86)*C15)))*(1/Budget!$C$88))</f>
        <v>0.18154193146417444</v>
      </c>
    </row>
    <row r="16" spans="1:9" x14ac:dyDescent="0.35">
      <c r="A16" s="112">
        <f>IF($A$14+0.02&gt;0,$A$14+0.02,"-")</f>
        <v>0.15</v>
      </c>
      <c r="B16" s="112">
        <f>IF($B$14+0.02&gt;0,$B$14+0.02,"-")</f>
        <v>0.13</v>
      </c>
      <c r="C16" s="113">
        <f>IF($C$14+0.01&gt;0,$C$14+0.01,"-")</f>
        <v>0.08</v>
      </c>
      <c r="D16" s="114">
        <f>IF(OR(A16="-",B16="-",C16="-"),"-",Budget!$C$86)</f>
        <v>1049999.9999999998</v>
      </c>
      <c r="E16" s="114">
        <f>IF(OR(A16="-",B16="-",C16="-"),"-",((D16*Budget!$E$13*A16)+(D16*Budget!$E$14*B16)+(D16*Budget!$E$15*C16)))</f>
        <v>150674.99999999997</v>
      </c>
      <c r="F16" s="115">
        <f>IF(OR(A16="-",B16="-",C16="-"),"-",Budget!$E$109)</f>
        <v>48562.466666666667</v>
      </c>
      <c r="G16" s="116">
        <f t="shared" si="2"/>
        <v>102112.5333333333</v>
      </c>
      <c r="H16" s="117">
        <f t="shared" ref="H16:H21" si="3">IF(OR(A16="-",B16="-",C16="-"),"-",F16/D16)</f>
        <v>4.6249968253968265E-2</v>
      </c>
      <c r="I16" s="118">
        <f>IF(OR(A16="-",B16="-",C16="-"),"-",(F16/(((Budget!$C$83/Budget!$C$86)*A16)+((Budget!$C$84/Budget!$C$86)*B16)+((Budget!$C$85/Budget!$C$86)*C16)))*(1/Budget!$C$88))</f>
        <v>0.16920720092915217</v>
      </c>
    </row>
    <row r="17" spans="1:9" x14ac:dyDescent="0.35">
      <c r="A17" s="112">
        <f>IF($A$14+0.03&gt;0,$A$14+0.03,"-")</f>
        <v>0.16</v>
      </c>
      <c r="B17" s="112">
        <f>IF($B$14+0.03&gt;0,$B$14+0.03,"-")</f>
        <v>0.14000000000000001</v>
      </c>
      <c r="C17" s="113">
        <f>IF($C$14+0.015&gt;0,$C$14+0.015,"-")</f>
        <v>8.5000000000000006E-2</v>
      </c>
      <c r="D17" s="114">
        <f>IF(OR(A17="-",B17="-",C17="-"),"-",Budget!$C$86)</f>
        <v>1049999.9999999998</v>
      </c>
      <c r="E17" s="114">
        <f>IF(OR(A17="-",B17="-",C17="-"),"-",((D17*Budget!$E$13*A17)+(D17*Budget!$E$14*B17)+(D17*Budget!$E$15*C17)))</f>
        <v>160912.49999999997</v>
      </c>
      <c r="F17" s="115">
        <f>IF(OR(A17="-",B17="-",C17="-"),"-",Budget!$E$109)</f>
        <v>48562.466666666667</v>
      </c>
      <c r="G17" s="116">
        <f t="shared" si="2"/>
        <v>112350.0333333333</v>
      </c>
      <c r="H17" s="117">
        <f t="shared" si="3"/>
        <v>4.6249968253968265E-2</v>
      </c>
      <c r="I17" s="118">
        <f>IF(OR(A17="-",B17="-",C17="-"),"-",(F17/(((Budget!$C$83/Budget!$C$86)*A17)+((Budget!$C$84/Budget!$C$86)*B17)+((Budget!$C$85/Budget!$C$86)*C17)))*(1/Budget!$C$88))</f>
        <v>0.15844197933659598</v>
      </c>
    </row>
    <row r="18" spans="1:9" x14ac:dyDescent="0.35">
      <c r="A18" s="112">
        <f>IF($A$14+0.04&gt;0,$A$14+0.04,"-")</f>
        <v>0.17</v>
      </c>
      <c r="B18" s="112">
        <f>IF($B$14+0.04&gt;0,$B$14+0.04,"-")</f>
        <v>0.15</v>
      </c>
      <c r="C18" s="113">
        <f>IF($C$14+0.02&gt;0,$C$14+0.02,"-")</f>
        <v>9.0000000000000011E-2</v>
      </c>
      <c r="D18" s="114">
        <f>IF(OR(A18="-",B18="-",C18="-"),"-",Budget!$C$86)</f>
        <v>1049999.9999999998</v>
      </c>
      <c r="E18" s="114">
        <f>IF(OR(A18="-",B18="-",C18="-"),"-",((D18*Budget!$E$13*A18)+(D18*Budget!$E$14*B18)+(D18*Budget!$E$15*C18)))</f>
        <v>171150</v>
      </c>
      <c r="F18" s="115">
        <f>IF(OR(A18="-",B18="-",C18="-"),"-",Budget!$E$109)</f>
        <v>48562.466666666667</v>
      </c>
      <c r="G18" s="116">
        <f t="shared" si="2"/>
        <v>122587.53333333333</v>
      </c>
      <c r="H18" s="117">
        <f t="shared" si="3"/>
        <v>4.6249968253968265E-2</v>
      </c>
      <c r="I18" s="118">
        <f>IF(OR(A18="-",B18="-",C18="-"),"-",(F18/(((Budget!$C$83/Budget!$C$86)*A18)+((Budget!$C$84/Budget!$C$86)*B18)+((Budget!$C$85/Budget!$C$86)*C18)))*(1/Budget!$C$88))</f>
        <v>0.14896462167689159</v>
      </c>
    </row>
    <row r="19" spans="1:9" x14ac:dyDescent="0.35">
      <c r="A19" s="112">
        <f>IF($A$14+0.05&gt;0,$A$14+0.05,"-")</f>
        <v>0.18</v>
      </c>
      <c r="B19" s="112">
        <f>IF($B$14+0.05&gt;0,$B$14+0.05,"-")</f>
        <v>0.16</v>
      </c>
      <c r="C19" s="113">
        <f>IF($C$14+0.025&gt;0,$C$14+0.025,"-")</f>
        <v>9.5000000000000001E-2</v>
      </c>
      <c r="D19" s="114">
        <f>IF(OR(A19="-",B19="-",C19="-"),"-",Budget!$C$86)</f>
        <v>1049999.9999999998</v>
      </c>
      <c r="E19" s="114">
        <f>IF(OR(A19="-",B19="-",C19="-"),"-",((D19*Budget!$E$13*A19)+(D19*Budget!$E$14*B19)+(D19*Budget!$E$15*C19)))</f>
        <v>181387.49999999997</v>
      </c>
      <c r="F19" s="115">
        <f>IF(OR(A19="-",B19="-",C19="-"),"-",Budget!$E$109)</f>
        <v>48562.466666666667</v>
      </c>
      <c r="G19" s="116">
        <f t="shared" si="2"/>
        <v>132825.0333333333</v>
      </c>
      <c r="H19" s="117">
        <f t="shared" si="3"/>
        <v>4.6249968253968265E-2</v>
      </c>
      <c r="I19" s="118">
        <f>IF(OR(A19="-",B19="-",C19="-"),"-",(F19/(((Budget!$C$83/Budget!$C$86)*A19)+((Budget!$C$84/Budget!$C$86)*B19)+((Budget!$C$85/Budget!$C$86)*C19)))*(1/Budget!$C$88))</f>
        <v>0.14055706705258081</v>
      </c>
    </row>
    <row r="20" spans="1:9" x14ac:dyDescent="0.35">
      <c r="A20" s="112">
        <f>IF($A$14+0.06&gt;0,$A$14+0.06,"-")</f>
        <v>0.19</v>
      </c>
      <c r="B20" s="112">
        <f>IF($B$14+0.06&gt;0,$B$14+0.06,"-")</f>
        <v>0.16999999999999998</v>
      </c>
      <c r="C20" s="113">
        <f>IF($C$14+0.03&gt;0,$C$14+0.03,"-")</f>
        <v>0.1</v>
      </c>
      <c r="D20" s="114">
        <f>IF(OR(A20="-",B20="-",C20="-"),"-",Budget!$C$86)</f>
        <v>1049999.9999999998</v>
      </c>
      <c r="E20" s="114">
        <f>IF(OR(A20="-",B20="-",C20="-"),"-",((D20*Budget!$E$13*A20)+(D20*Budget!$E$14*B20)+(D20*Budget!$E$15*C20)))</f>
        <v>191624.99999999997</v>
      </c>
      <c r="F20" s="115">
        <f>IF(OR(A20="-",B20="-",C20="-"),"-",Budget!$E$109)</f>
        <v>48562.466666666667</v>
      </c>
      <c r="G20" s="116">
        <f t="shared" si="2"/>
        <v>143062.5333333333</v>
      </c>
      <c r="H20" s="117">
        <f t="shared" si="3"/>
        <v>4.6249968253968265E-2</v>
      </c>
      <c r="I20" s="118">
        <f>IF(OR(A20="-",B20="-",C20="-"),"-",(F20/(((Budget!$C$83/Budget!$C$86)*A20)+((Budget!$C$84/Budget!$C$86)*B20)+((Budget!$C$85/Budget!$C$86)*C20)))*(1/Budget!$C$88))</f>
        <v>0.13304785388127852</v>
      </c>
    </row>
    <row r="21" spans="1:9" x14ac:dyDescent="0.35">
      <c r="A21" s="112">
        <f>IF($A$14+0.07&gt;0,$A$14+0.07,"-")</f>
        <v>0.2</v>
      </c>
      <c r="B21" s="112">
        <f>IF($B$14+0.07&gt;0,$B$14+0.07,"-")</f>
        <v>0.18</v>
      </c>
      <c r="C21" s="113">
        <f>IF($C$14+0.035&gt;0,$C$14+0.035,"-")</f>
        <v>0.10500000000000001</v>
      </c>
      <c r="D21" s="114">
        <f>IF(OR(A21="-",B21="-",C21="-"),"-",Budget!$C$86)</f>
        <v>1049999.9999999998</v>
      </c>
      <c r="E21" s="114">
        <f>IF(OR(A21="-",B21="-",C21="-"),"-",((D21*Budget!$E$13*A21)+(D21*Budget!$E$14*B21)+(D21*Budget!$E$15*C21)))</f>
        <v>201862.5</v>
      </c>
      <c r="F21" s="115">
        <f>IF(OR(A21="-",B21="-",C21="-"),"-",Budget!$E$109)</f>
        <v>48562.466666666667</v>
      </c>
      <c r="G21" s="116">
        <f t="shared" si="2"/>
        <v>153300.03333333333</v>
      </c>
      <c r="H21" s="117">
        <f t="shared" si="3"/>
        <v>4.6249968253968265E-2</v>
      </c>
      <c r="I21" s="118">
        <f>IF(OR(A21="-",B21="-",C21="-"),"-",(F21/(((Budget!$C$83/Budget!$C$86)*A21)+((Budget!$C$84/Budget!$C$86)*B21)+((Budget!$C$85/Budget!$C$86)*C21)))*(1/Budget!$C$88))</f>
        <v>0.1263003034243606</v>
      </c>
    </row>
    <row r="22" spans="1:9" x14ac:dyDescent="0.35">
      <c r="A22" s="125"/>
      <c r="B22" s="125"/>
      <c r="C22" s="126"/>
      <c r="D22" s="125"/>
      <c r="E22" s="125"/>
      <c r="F22" s="125"/>
      <c r="G22" s="125"/>
      <c r="H22" s="125"/>
      <c r="I22" s="125"/>
    </row>
    <row r="23" spans="1:9" ht="18.5" x14ac:dyDescent="0.45">
      <c r="A23" s="327" t="s">
        <v>98</v>
      </c>
      <c r="B23" s="327"/>
      <c r="C23" s="327"/>
      <c r="D23" s="327"/>
      <c r="E23" s="327"/>
      <c r="F23" s="327"/>
      <c r="G23" s="327"/>
      <c r="H23" s="327"/>
      <c r="I23" s="327"/>
    </row>
    <row r="24" spans="1:9" x14ac:dyDescent="0.35">
      <c r="A24" s="125"/>
      <c r="B24" s="125"/>
      <c r="C24" s="126"/>
      <c r="D24" s="125"/>
      <c r="E24" s="125"/>
      <c r="F24" s="125"/>
      <c r="G24" s="125"/>
      <c r="H24" s="127"/>
      <c r="I24" s="125"/>
    </row>
    <row r="25" spans="1:9" s="109" customFormat="1" ht="29" x14ac:dyDescent="0.35">
      <c r="A25" s="331" t="s">
        <v>97</v>
      </c>
      <c r="B25" s="331"/>
      <c r="C25" s="331"/>
      <c r="D25" s="108" t="s">
        <v>88</v>
      </c>
      <c r="E25" s="108" t="s">
        <v>103</v>
      </c>
      <c r="F25" s="108" t="s">
        <v>89</v>
      </c>
      <c r="G25" s="108" t="s">
        <v>42</v>
      </c>
      <c r="H25" s="108" t="s">
        <v>43</v>
      </c>
      <c r="I25" s="108" t="s">
        <v>132</v>
      </c>
    </row>
    <row r="26" spans="1:9" ht="16" thickBot="1" x14ac:dyDescent="0.4">
      <c r="A26" s="110" t="s">
        <v>94</v>
      </c>
      <c r="B26" s="110" t="s">
        <v>95</v>
      </c>
      <c r="C26" s="110" t="s">
        <v>96</v>
      </c>
      <c r="D26" s="111"/>
      <c r="E26" s="111"/>
      <c r="F26" s="111"/>
      <c r="G26" s="111"/>
      <c r="H26" s="111"/>
      <c r="I26" s="111"/>
    </row>
    <row r="27" spans="1:9" x14ac:dyDescent="0.35">
      <c r="A27" s="128" t="str">
        <f t="shared" ref="A27:A30" si="4">IF(A28="-","-",IF(A28=1,"-",IF(A28+0.1&gt;1,"-",MROUND(A28+0.1,0.05))))</f>
        <v>-</v>
      </c>
      <c r="B27" s="129" t="str">
        <f t="shared" ref="B27:B30" si="5">IF(A27=1,0,IF(A27="-","-",IF(B28&lt;=0.05,0,IF(AND(B28&gt;0.05,C28=0),MROUND(B28-0.1,0.05),IF(AND(B28&gt;0.05,C28&gt;=0.05),MROUND(B28-0.05,0.05),"-")))))</f>
        <v>-</v>
      </c>
      <c r="C27" s="129" t="str">
        <f t="shared" ref="C27:C30" si="6">IF(A27=1,0,IF(A27="-","-",IF(C28&lt;=0.05,0,IF(AND(C28&gt;0.05,B28=0),MROUND(C28-0.1,0.05),IF(AND(C28&gt;0.05,B28&gt;=0.05),MROUND(C28-0.05,0.05),"-")))))</f>
        <v>-</v>
      </c>
      <c r="D27" s="114" t="str">
        <f>IF(A27="-","-",Budget!$C$86)</f>
        <v>-</v>
      </c>
      <c r="E27" s="114" t="str">
        <f>IF(A27="-","-",((A27*D27*Budget!$H$7)+(B27*D27*Budget!$H$8)+(C27*D27*Budget!$H$9)))</f>
        <v>-</v>
      </c>
      <c r="F27" s="115" t="str">
        <f>IF(A27="-","-",Budget!$E$109)</f>
        <v>-</v>
      </c>
      <c r="G27" s="130" t="str">
        <f t="shared" ref="G27:G30" si="7">IF(A27="-","-",E27-F27)</f>
        <v>-</v>
      </c>
      <c r="H27" s="117" t="str">
        <f t="shared" ref="H27:H30" si="8">IF(A27="-","-",F27/D27)</f>
        <v>-</v>
      </c>
      <c r="I27" s="118" t="str">
        <f>IF(A27="-","-",(F27/((((A27*D27)/D27)*Budget!$H$7)+(((B27*D27)/D27)*Budget!$H$8)+(((C27*D27)/D27)*Budget!$H$9)))*(1/Budget!$C$88))</f>
        <v>-</v>
      </c>
    </row>
    <row r="28" spans="1:9" x14ac:dyDescent="0.35">
      <c r="A28" s="128" t="str">
        <f t="shared" si="4"/>
        <v>-</v>
      </c>
      <c r="B28" s="129" t="str">
        <f t="shared" si="5"/>
        <v>-</v>
      </c>
      <c r="C28" s="129" t="str">
        <f t="shared" si="6"/>
        <v>-</v>
      </c>
      <c r="D28" s="114" t="str">
        <f>IF(A28="-","-",Budget!$C$86)</f>
        <v>-</v>
      </c>
      <c r="E28" s="114" t="str">
        <f>IF(A28="-","-",((A28*D28*Budget!$H$7)+(B28*D28*Budget!$H$8)+(C28*D28*Budget!$H$9)))</f>
        <v>-</v>
      </c>
      <c r="F28" s="115" t="str">
        <f>IF(A28="-","-",Budget!$E$109)</f>
        <v>-</v>
      </c>
      <c r="G28" s="130" t="str">
        <f t="shared" si="7"/>
        <v>-</v>
      </c>
      <c r="H28" s="117" t="str">
        <f t="shared" si="8"/>
        <v>-</v>
      </c>
      <c r="I28" s="118" t="str">
        <f>IF(A28="-","-",(F28/((((A28*D28)/D28)*Budget!$H$7)+(((B28*D28)/D28)*Budget!$H$8)+(((C28*D28)/D28)*Budget!$H$9)))*(1/Budget!$C$88))</f>
        <v>-</v>
      </c>
    </row>
    <row r="29" spans="1:9" x14ac:dyDescent="0.35">
      <c r="A29" s="128" t="str">
        <f t="shared" si="4"/>
        <v>-</v>
      </c>
      <c r="B29" s="129" t="str">
        <f t="shared" si="5"/>
        <v>-</v>
      </c>
      <c r="C29" s="129" t="str">
        <f t="shared" si="6"/>
        <v>-</v>
      </c>
      <c r="D29" s="114" t="str">
        <f>IF(A29="-","-",Budget!$C$86)</f>
        <v>-</v>
      </c>
      <c r="E29" s="114" t="str">
        <f>IF(A29="-","-",((A29*D29*Budget!$H$7)+(B29*D29*Budget!$H$8)+(C29*D29*Budget!$H$9)))</f>
        <v>-</v>
      </c>
      <c r="F29" s="115" t="str">
        <f>IF(A29="-","-",Budget!$E$109)</f>
        <v>-</v>
      </c>
      <c r="G29" s="130" t="str">
        <f t="shared" si="7"/>
        <v>-</v>
      </c>
      <c r="H29" s="117" t="str">
        <f t="shared" si="8"/>
        <v>-</v>
      </c>
      <c r="I29" s="118" t="str">
        <f>IF(A29="-","-",(F29/((((A29*D29)/D29)*Budget!$H$7)+(((B29*D29)/D29)*Budget!$H$8)+(((C29*D29)/D29)*Budget!$H$9)))*(1/Budget!$C$88))</f>
        <v>-</v>
      </c>
    </row>
    <row r="30" spans="1:9" x14ac:dyDescent="0.35">
      <c r="A30" s="128">
        <f t="shared" si="4"/>
        <v>1</v>
      </c>
      <c r="B30" s="129">
        <f t="shared" si="5"/>
        <v>0</v>
      </c>
      <c r="C30" s="129">
        <f t="shared" si="6"/>
        <v>0</v>
      </c>
      <c r="D30" s="114">
        <f>IF(A30="-","-",Budget!$C$86)</f>
        <v>1049999.9999999998</v>
      </c>
      <c r="E30" s="114">
        <f>IF(A30="-","-",((A30*D30*Budget!$H$7)+(B30*D30*Budget!$H$8)+(C30*D30*Budget!$H$9)))</f>
        <v>136499.99999999997</v>
      </c>
      <c r="F30" s="115">
        <f>IF(A30="-","-",Budget!$E$109)</f>
        <v>48562.466666666667</v>
      </c>
      <c r="G30" s="130">
        <f t="shared" si="7"/>
        <v>87937.533333333296</v>
      </c>
      <c r="H30" s="117">
        <f t="shared" si="8"/>
        <v>4.6249968253968265E-2</v>
      </c>
      <c r="I30" s="118">
        <f>IF(A30="-","-",(F30/((((A30*D30)/D30)*Budget!$H$7)+(((B30*D30)/D30)*Budget!$H$8)+(((C30*D30)/D30)*Budget!$H$9)))*(1/Budget!$C$88))</f>
        <v>0.18677871794871792</v>
      </c>
    </row>
    <row r="31" spans="1:9" x14ac:dyDescent="0.35">
      <c r="A31" s="128">
        <f>IF(A32="-","-",IF(A32=1,"-",IF(A32+0.1&gt;1,"-",MROUND(A32+0.1,0.05))))</f>
        <v>0.9</v>
      </c>
      <c r="B31" s="129">
        <f>IF(A31=1,0,IF(A31="-","-",IF(B32&lt;=0.05,0,IF(AND(B32&gt;0.05,C32=0),MROUND(B32-0.1,0.05),IF(AND(B32&gt;0.05,C32&gt;=0.05),MROUND(B32-0.05,0.05),"-")))))</f>
        <v>0.1</v>
      </c>
      <c r="C31" s="129">
        <f>IF(A31=1,0,IF(A31="-","-",IF(C32&lt;=0.05,0,IF(AND(C32&gt;0.05,B32=0),MROUND(C32-0.1,0.05),IF(AND(C32&gt;0.05,B32&gt;=0.05),MROUND(C32-0.05,0.05),"-")))))</f>
        <v>0</v>
      </c>
      <c r="D31" s="114">
        <f>IF(A31="-","-",Budget!$C$86)</f>
        <v>1049999.9999999998</v>
      </c>
      <c r="E31" s="114">
        <f>IF(A31="-","-",((A31*D31*Budget!$H$7)+(B31*D31*Budget!$H$8)+(C31*D31*Budget!$H$9)))</f>
        <v>134399.99999999997</v>
      </c>
      <c r="F31" s="115">
        <f>IF(A31="-","-",Budget!$E$109)</f>
        <v>48562.466666666667</v>
      </c>
      <c r="G31" s="130">
        <f>IF(A31="-","-",E31-F31)</f>
        <v>85837.533333333296</v>
      </c>
      <c r="H31" s="117">
        <f>IF(A31="-","-",F31/D31)</f>
        <v>4.6249968253968265E-2</v>
      </c>
      <c r="I31" s="118">
        <f>IF(A31="-","-",(F31/((((A31*D31)/D31)*Budget!$H$7)+(((B31*D31)/D31)*Budget!$H$8)+(((C31*D31)/D31)*Budget!$H$9)))*(1/Budget!$C$88))</f>
        <v>0.18969713541666663</v>
      </c>
    </row>
    <row r="32" spans="1:9" x14ac:dyDescent="0.35">
      <c r="A32" s="131">
        <f>Budget!$E$13</f>
        <v>0.8</v>
      </c>
      <c r="B32" s="131">
        <f>Budget!$E$14</f>
        <v>0.15</v>
      </c>
      <c r="C32" s="131">
        <f>Budget!$E$15</f>
        <v>0.05</v>
      </c>
      <c r="D32" s="122">
        <f>Budget!$C$86</f>
        <v>1049999.9999999998</v>
      </c>
      <c r="E32" s="122">
        <f>Budget!$E$86</f>
        <v>130199.99999999999</v>
      </c>
      <c r="F32" s="123">
        <f>Budget!$E$109</f>
        <v>48562.466666666667</v>
      </c>
      <c r="G32" s="132">
        <f>Budget!$E$113</f>
        <v>88404.999999999985</v>
      </c>
      <c r="H32" s="121">
        <f>Budget!$E$118</f>
        <v>4.6249968253968265E-2</v>
      </c>
      <c r="I32" s="124">
        <f>Budget!$E$119</f>
        <v>0.19581639784946234</v>
      </c>
    </row>
    <row r="33" spans="1:9" x14ac:dyDescent="0.35">
      <c r="A33" s="128">
        <f>IF(OR(B33="-",C33="-"),"-",IF(OR(A32=0,A32-0.1&lt;=0),0,MROUND(A32-0.1,0.05)))</f>
        <v>0.70000000000000007</v>
      </c>
      <c r="B33" s="129">
        <f>IF(OR(B32=1,B32="-"),"-",IF(AND(B32+0.05&lt;=1,B32+C32+0.1&lt;=1),B32+0.05,"-"))</f>
        <v>0.2</v>
      </c>
      <c r="C33" s="129">
        <f>IF(OR(C32=1,C32="-"),"-",IF(AND(C32+0.05&lt;=1,B32+C32+0.1&lt;=1),C32+0.05,"-"))</f>
        <v>0.1</v>
      </c>
      <c r="D33" s="114">
        <f>IF(A33="-","-",Budget!$C$86)</f>
        <v>1049999.9999999998</v>
      </c>
      <c r="E33" s="114">
        <f>IF(A33="-","-",((A33*D33*Budget!$H$7)+(B33*D33*Budget!$H$8)+(C33*D33*Budget!$H$9)))</f>
        <v>125999.99999999999</v>
      </c>
      <c r="F33" s="115">
        <f>IF(A33="-","-",Budget!$E$109)</f>
        <v>48562.466666666667</v>
      </c>
      <c r="G33" s="130">
        <f>IF(A33="-","-",E33-F33)</f>
        <v>77437.533333333326</v>
      </c>
      <c r="H33" s="117">
        <f>IF(A33="-","-",F33/D33)</f>
        <v>4.6249968253968265E-2</v>
      </c>
      <c r="I33" s="118">
        <f>IF(A33="-","-",(F33/((((A33*D33)/D33)*Budget!$H$7)+(((B33*D33)/D33)*Budget!$H$8)+(((C33*D33)/D33)*Budget!$H$9)))*(1/Budget!$C$88))</f>
        <v>0.20234361111111104</v>
      </c>
    </row>
    <row r="34" spans="1:9" x14ac:dyDescent="0.35">
      <c r="A34" s="128">
        <f t="shared" ref="A34:A37" si="9">IF(OR(B34="-",C34="-"),"-",IF(OR(A33=0,A33-0.1&lt;=0),0,MROUND(A33-0.1,0.05)))</f>
        <v>0.60000000000000009</v>
      </c>
      <c r="B34" s="129">
        <f>IF(OR(B33=1,B33="-"),"-",IF(AND(B33+0.05&lt;=1,B33+C33+0.1&lt;=1),B33+0.05,"-"))</f>
        <v>0.25</v>
      </c>
      <c r="C34" s="129">
        <f>IF(OR(C33=1,C33="-"),"-",IF(AND(C33+0.05&lt;=1,B33+C33+0.1&lt;=1),C33+0.05,"-"))</f>
        <v>0.15000000000000002</v>
      </c>
      <c r="D34" s="114">
        <f>IF(A34="-","-",Budget!$C$86)</f>
        <v>1049999.9999999998</v>
      </c>
      <c r="E34" s="114">
        <f>IF(A34="-","-",((A34*D34*Budget!$H$7)+(B34*D34*Budget!$H$8)+(C34*D34*Budget!$H$9)))</f>
        <v>121800</v>
      </c>
      <c r="F34" s="115">
        <f>IF(A34="-","-",Budget!$E$109)</f>
        <v>48562.466666666667</v>
      </c>
      <c r="G34" s="130">
        <f t="shared" ref="G34:G37" si="10">IF(A34="-","-",E34-F34)</f>
        <v>73237.533333333326</v>
      </c>
      <c r="H34" s="117">
        <f t="shared" ref="H34:H37" si="11">IF(A34="-","-",F34/D34)</f>
        <v>4.6249968253968265E-2</v>
      </c>
      <c r="I34" s="118">
        <f>IF(A34="-","-",(F34/((((A34*D34)/D34)*Budget!$H$7)+(((B34*D34)/D34)*Budget!$H$8)+(((C34*D34)/D34)*Budget!$H$9)))*(1/Budget!$C$88))</f>
        <v>0.20932097701149421</v>
      </c>
    </row>
    <row r="35" spans="1:9" x14ac:dyDescent="0.35">
      <c r="A35" s="128">
        <f t="shared" si="9"/>
        <v>0.5</v>
      </c>
      <c r="B35" s="129">
        <f>IF(OR(B34=1,B34="-"),"-",IF(AND(B34+0.05&lt;=1,B34+C34+0.1&lt;=1),B34+0.05,"-"))</f>
        <v>0.3</v>
      </c>
      <c r="C35" s="129">
        <f>IF(OR(C34=1,C34="-"),"-",IF(AND(C34+0.05&lt;=1,B34+C34+0.1&lt;=1),C34+0.05,"-"))</f>
        <v>0.2</v>
      </c>
      <c r="D35" s="114">
        <f>IF(A35="-","-",Budget!$C$86)</f>
        <v>1049999.9999999998</v>
      </c>
      <c r="E35" s="114">
        <f>IF(A35="-","-",((A35*D35*Budget!$H$7)+(B35*D35*Budget!$H$8)+(C35*D35*Budget!$H$9)))</f>
        <v>117599.99999999997</v>
      </c>
      <c r="F35" s="115">
        <f>IF(A35="-","-",Budget!$E$109)</f>
        <v>48562.466666666667</v>
      </c>
      <c r="G35" s="130">
        <f t="shared" si="10"/>
        <v>69037.533333333296</v>
      </c>
      <c r="H35" s="117">
        <f t="shared" si="11"/>
        <v>4.6249968253968265E-2</v>
      </c>
      <c r="I35" s="118">
        <f>IF(A35="-","-",(F35/((((A35*D35)/D35)*Budget!$H$7)+(((B35*D35)/D35)*Budget!$H$8)+(((C35*D35)/D35)*Budget!$H$9)))*(1/Budget!$C$88))</f>
        <v>0.21679672619047619</v>
      </c>
    </row>
    <row r="36" spans="1:9" x14ac:dyDescent="0.35">
      <c r="A36" s="128">
        <f t="shared" si="9"/>
        <v>0.4</v>
      </c>
      <c r="B36" s="129">
        <f>IF(OR(B35=1,B35="-"),"-",IF(AND(B35+0.05&lt;=1,B35+C35+0.1&lt;=1),B35+0.05,"-"))</f>
        <v>0.35</v>
      </c>
      <c r="C36" s="129">
        <f>IF(OR(C35=1,C35="-"),"-",IF(AND(C35+0.05&lt;=1,B35+C35+0.1&lt;=1),C35+0.05,"-"))</f>
        <v>0.25</v>
      </c>
      <c r="D36" s="114">
        <f>IF(A36="-","-",Budget!$C$86)</f>
        <v>1049999.9999999998</v>
      </c>
      <c r="E36" s="114">
        <f>IF(A36="-","-",((A36*D36*Budget!$H$7)+(B36*D36*Budget!$H$8)+(C36*D36*Budget!$H$9)))</f>
        <v>113399.99999999997</v>
      </c>
      <c r="F36" s="115">
        <f>IF(A36="-","-",Budget!$E$109)</f>
        <v>48562.466666666667</v>
      </c>
      <c r="G36" s="130">
        <f t="shared" si="10"/>
        <v>64837.533333333304</v>
      </c>
      <c r="H36" s="117">
        <f t="shared" si="11"/>
        <v>4.6249968253968265E-2</v>
      </c>
      <c r="I36" s="118">
        <f>IF(A36="-","-",(F36/((((A36*D36)/D36)*Budget!$H$7)+(((B36*D36)/D36)*Budget!$H$8)+(((C36*D36)/D36)*Budget!$H$9)))*(1/Budget!$C$88))</f>
        <v>0.22482623456790121</v>
      </c>
    </row>
    <row r="37" spans="1:9" x14ac:dyDescent="0.35">
      <c r="A37" s="128">
        <f t="shared" si="9"/>
        <v>0.30000000000000004</v>
      </c>
      <c r="B37" s="129">
        <f>IF(OR(B36=1,B36="-"),"-",IF(AND(B36+0.05&lt;=1,B36+C36+0.1&lt;=1),B36+0.05,"-"))</f>
        <v>0.39999999999999997</v>
      </c>
      <c r="C37" s="129">
        <f>IF(OR(C36=1,C36="-"),"-",IF(AND(C36+0.05&lt;=1,B36+C36+0.1&lt;=1),C36+0.05,"-"))</f>
        <v>0.3</v>
      </c>
      <c r="D37" s="114">
        <f>IF(A37="-","-",Budget!$C$86)</f>
        <v>1049999.9999999998</v>
      </c>
      <c r="E37" s="114">
        <f>IF(A37="-","-",((A37*D37*Budget!$H$7)+(B37*D37*Budget!$H$8)+(C37*D37*Budget!$H$9)))</f>
        <v>109199.99999999999</v>
      </c>
      <c r="F37" s="115">
        <f>IF(A37="-","-",Budget!$E$109)</f>
        <v>48562.466666666667</v>
      </c>
      <c r="G37" s="130">
        <f t="shared" si="10"/>
        <v>60637.533333333318</v>
      </c>
      <c r="H37" s="117">
        <f t="shared" si="11"/>
        <v>4.6249968253968265E-2</v>
      </c>
      <c r="I37" s="118">
        <f>IF(A37="-","-",(F37/((((A37*D37)/D37)*Budget!$H$7)+(((B37*D37)/D37)*Budget!$H$8)+(((C37*D37)/D37)*Budget!$H$9)))*(1/Budget!$C$88))</f>
        <v>0.2334733974358974</v>
      </c>
    </row>
  </sheetData>
  <sheetProtection algorithmName="SHA-512" hashValue="yjhq3YS4JbapzsN4oWWCtyhg0CuW7CsK2e6v2yVGVxWIFmIfCsWBMc3Kb+3qzlRLRZbEOS+KzNQdKTfvLXCdyQ==" saltValue="q1KVDHJ1UPQJK7EiB8R0yQ==" spinCount="100000" sheet="1" objects="1" scenarios="1"/>
  <mergeCells count="5">
    <mergeCell ref="A5:C5"/>
    <mergeCell ref="A3:I3"/>
    <mergeCell ref="A25:C25"/>
    <mergeCell ref="A23:I23"/>
    <mergeCell ref="A1:I1"/>
  </mergeCells>
  <phoneticPr fontId="5" type="noConversion"/>
  <conditionalFormatting sqref="G7:G21">
    <cfRule type="cellIs" dxfId="1" priority="2" operator="lessThan">
      <formula>0</formula>
    </cfRule>
  </conditionalFormatting>
  <conditionalFormatting sqref="G27:G37">
    <cfRule type="cellIs" dxfId="0" priority="1" operator="lessThan">
      <formula>0</formula>
    </cfRule>
  </conditionalFormatting>
  <pageMargins left="1" right="1" top="0.5" bottom="0.5" header="0.5" footer="0.5"/>
  <pageSetup scale="99"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129"/>
  <sheetViews>
    <sheetView topLeftCell="A46" workbookViewId="0">
      <selection activeCell="G79" sqref="G79"/>
    </sheetView>
  </sheetViews>
  <sheetFormatPr defaultColWidth="11" defaultRowHeight="15.5" x14ac:dyDescent="0.35"/>
  <sheetData>
    <row r="3" spans="2:11" x14ac:dyDescent="0.35">
      <c r="B3" s="1"/>
      <c r="C3" s="1"/>
      <c r="D3" s="1"/>
      <c r="E3" s="4"/>
      <c r="F3" s="1"/>
      <c r="G3" s="1"/>
      <c r="H3" s="1"/>
      <c r="I3" s="1"/>
      <c r="J3" s="1"/>
      <c r="K3" s="1"/>
    </row>
    <row r="4" spans="2:11" ht="16" thickBot="1" x14ac:dyDescent="0.4">
      <c r="B4" s="1"/>
      <c r="C4" s="1"/>
      <c r="D4" s="1"/>
      <c r="E4" s="56"/>
      <c r="F4" s="33"/>
      <c r="G4" s="1"/>
      <c r="H4" s="1"/>
      <c r="I4" s="1"/>
      <c r="J4" s="1"/>
      <c r="K4" s="1"/>
    </row>
    <row r="5" spans="2:11" x14ac:dyDescent="0.35">
      <c r="B5" s="1"/>
      <c r="C5" s="1"/>
      <c r="D5" s="14" t="s">
        <v>51</v>
      </c>
      <c r="E5" s="75"/>
      <c r="F5" s="15" t="s">
        <v>50</v>
      </c>
      <c r="G5" s="1"/>
      <c r="H5" s="14" t="s">
        <v>53</v>
      </c>
      <c r="I5" s="15" t="s">
        <v>54</v>
      </c>
      <c r="J5" s="1"/>
      <c r="K5" s="1"/>
    </row>
    <row r="6" spans="2:11" x14ac:dyDescent="0.35">
      <c r="B6" s="1"/>
      <c r="C6" s="1"/>
      <c r="D6" s="334" t="s">
        <v>73</v>
      </c>
      <c r="E6" s="335"/>
      <c r="F6" s="51">
        <f>Budget!E5</f>
        <v>2000000</v>
      </c>
      <c r="G6" s="1"/>
      <c r="H6" s="18" t="s">
        <v>46</v>
      </c>
      <c r="I6" s="55">
        <f>Budget!H5</f>
        <v>0.01</v>
      </c>
      <c r="J6" s="1"/>
      <c r="K6" s="1"/>
    </row>
    <row r="7" spans="2:11" x14ac:dyDescent="0.35">
      <c r="B7" s="1"/>
      <c r="C7" s="1"/>
      <c r="D7" s="336" t="s">
        <v>60</v>
      </c>
      <c r="E7" s="337"/>
      <c r="F7" s="52">
        <f>Budget!E6</f>
        <v>10000</v>
      </c>
      <c r="G7" s="1"/>
      <c r="H7" s="18" t="s">
        <v>47</v>
      </c>
      <c r="I7" s="17">
        <f>Budget!H6</f>
        <v>0</v>
      </c>
      <c r="J7" s="1"/>
      <c r="K7" s="1"/>
    </row>
    <row r="8" spans="2:11" x14ac:dyDescent="0.35">
      <c r="B8" s="1"/>
      <c r="C8" s="1"/>
      <c r="D8" s="334" t="s">
        <v>55</v>
      </c>
      <c r="E8" s="335"/>
      <c r="F8" s="60">
        <f>Budget!E7</f>
        <v>1150</v>
      </c>
      <c r="G8" s="1"/>
      <c r="H8" s="16" t="s">
        <v>67</v>
      </c>
      <c r="I8" s="40">
        <f>Budget!H7</f>
        <v>0.13</v>
      </c>
      <c r="J8" s="1"/>
      <c r="K8" s="1"/>
    </row>
    <row r="9" spans="2:11" x14ac:dyDescent="0.35">
      <c r="B9" s="1"/>
      <c r="C9" s="1"/>
      <c r="D9" s="334" t="s">
        <v>56</v>
      </c>
      <c r="E9" s="335"/>
      <c r="F9" s="53"/>
      <c r="G9" s="1"/>
      <c r="H9" s="16" t="s">
        <v>62</v>
      </c>
      <c r="I9" s="40">
        <f>Budget!H8</f>
        <v>0.11</v>
      </c>
      <c r="J9" s="1"/>
      <c r="K9" s="1"/>
    </row>
    <row r="10" spans="2:11" ht="16" thickBot="1" x14ac:dyDescent="0.4">
      <c r="B10" s="1"/>
      <c r="C10" s="1"/>
      <c r="D10" s="332" t="s">
        <v>57</v>
      </c>
      <c r="E10" s="333"/>
      <c r="F10" s="54">
        <f>Budget!E9</f>
        <v>0.75</v>
      </c>
      <c r="G10" s="1"/>
      <c r="H10" s="39" t="s">
        <v>63</v>
      </c>
      <c r="I10" s="41">
        <f>Budget!H9</f>
        <v>7.0000000000000007E-2</v>
      </c>
      <c r="J10" s="1"/>
      <c r="K10" s="1"/>
    </row>
    <row r="11" spans="2:11" x14ac:dyDescent="0.35">
      <c r="B11" s="1"/>
      <c r="C11" s="1"/>
      <c r="D11" s="332" t="s">
        <v>58</v>
      </c>
      <c r="E11" s="333"/>
      <c r="F11" s="54">
        <f>Budget!E10</f>
        <v>0.7</v>
      </c>
      <c r="G11" s="1"/>
      <c r="H11" s="13"/>
      <c r="I11" s="1"/>
      <c r="J11" s="1"/>
      <c r="K11" s="1"/>
    </row>
    <row r="12" spans="2:11" x14ac:dyDescent="0.35">
      <c r="B12" s="1"/>
      <c r="C12" s="1"/>
      <c r="D12" s="332" t="s">
        <v>59</v>
      </c>
      <c r="E12" s="333"/>
      <c r="F12" s="53">
        <f>F10*F11</f>
        <v>0.52499999999999991</v>
      </c>
      <c r="G12" s="1"/>
      <c r="H12" s="83"/>
      <c r="I12" s="1"/>
      <c r="J12" s="1"/>
      <c r="K12" s="1"/>
    </row>
    <row r="13" spans="2:11" x14ac:dyDescent="0.35">
      <c r="B13" s="1"/>
      <c r="C13" s="1"/>
      <c r="D13" s="334" t="s">
        <v>52</v>
      </c>
      <c r="E13" s="335"/>
      <c r="F13" s="338"/>
      <c r="G13" s="1"/>
      <c r="H13" s="1"/>
      <c r="I13" s="1"/>
      <c r="J13" s="1"/>
      <c r="K13" s="1"/>
    </row>
    <row r="14" spans="2:11" x14ac:dyDescent="0.35">
      <c r="B14" s="1"/>
      <c r="C14" s="1"/>
      <c r="D14" s="332" t="s">
        <v>61</v>
      </c>
      <c r="E14" s="333"/>
      <c r="F14" s="54">
        <v>0.1</v>
      </c>
      <c r="G14" s="1"/>
      <c r="H14" s="1"/>
      <c r="I14" s="1"/>
      <c r="J14" s="1"/>
      <c r="K14" s="1"/>
    </row>
    <row r="15" spans="2:11" x14ac:dyDescent="0.35">
      <c r="B15" s="1"/>
      <c r="C15" s="1"/>
      <c r="D15" s="332" t="s">
        <v>62</v>
      </c>
      <c r="E15" s="333"/>
      <c r="F15" s="54">
        <v>0.5</v>
      </c>
      <c r="G15" s="1"/>
      <c r="H15" s="1"/>
      <c r="I15" s="1"/>
      <c r="J15" s="1"/>
      <c r="K15" s="1"/>
    </row>
    <row r="16" spans="2:11" x14ac:dyDescent="0.35">
      <c r="B16" s="1"/>
      <c r="C16" s="1"/>
      <c r="D16" s="332" t="s">
        <v>63</v>
      </c>
      <c r="E16" s="333"/>
      <c r="F16" s="66">
        <v>0.4</v>
      </c>
      <c r="G16" s="1"/>
      <c r="H16" s="1"/>
      <c r="I16" s="1"/>
      <c r="J16" s="1"/>
      <c r="K16" s="1"/>
    </row>
    <row r="17" spans="2:11" x14ac:dyDescent="0.35">
      <c r="B17" s="1"/>
      <c r="C17" s="1"/>
      <c r="D17" s="344" t="s">
        <v>100</v>
      </c>
      <c r="E17" s="345"/>
      <c r="F17" s="64"/>
      <c r="G17" s="1"/>
      <c r="H17" s="1"/>
      <c r="I17" s="1"/>
      <c r="J17" s="1"/>
      <c r="K17" s="1"/>
    </row>
    <row r="18" spans="2:11" x14ac:dyDescent="0.35">
      <c r="B18" s="1"/>
      <c r="C18" s="1"/>
      <c r="D18" s="346" t="s">
        <v>57</v>
      </c>
      <c r="E18" s="347"/>
      <c r="F18" s="67">
        <f>ROUND(F6/F7,0)</f>
        <v>200</v>
      </c>
      <c r="G18" s="1"/>
      <c r="H18" s="1"/>
      <c r="I18" s="1"/>
      <c r="J18" s="1"/>
      <c r="K18" s="1"/>
    </row>
    <row r="19" spans="2:11" ht="16" thickBot="1" x14ac:dyDescent="0.4">
      <c r="B19" s="2"/>
      <c r="C19" s="2"/>
      <c r="D19" s="339" t="s">
        <v>99</v>
      </c>
      <c r="E19" s="340"/>
      <c r="F19" s="65">
        <f>ROUND(F6*F10/F8,0)</f>
        <v>1304</v>
      </c>
      <c r="G19" s="1"/>
      <c r="H19" s="1"/>
      <c r="I19" s="1"/>
      <c r="J19" s="1"/>
      <c r="K19" s="1"/>
    </row>
    <row r="20" spans="2:11" x14ac:dyDescent="0.35">
      <c r="B20" s="2"/>
      <c r="C20" s="2"/>
      <c r="D20" s="2"/>
      <c r="E20" s="10"/>
      <c r="F20" s="2"/>
      <c r="G20" s="1"/>
      <c r="H20" s="1"/>
      <c r="I20" s="1"/>
      <c r="J20" s="1"/>
      <c r="K20" s="1"/>
    </row>
    <row r="21" spans="2:11" ht="18.5" x14ac:dyDescent="0.45">
      <c r="B21" s="343" t="s">
        <v>12</v>
      </c>
      <c r="C21" s="343"/>
      <c r="D21" s="343"/>
      <c r="E21" s="343"/>
      <c r="F21" s="343"/>
      <c r="G21" s="343"/>
      <c r="H21" s="343"/>
      <c r="I21" s="343"/>
      <c r="J21" s="343"/>
      <c r="K21" s="343"/>
    </row>
    <row r="22" spans="2:11" ht="16" thickBot="1" x14ac:dyDescent="0.4">
      <c r="B22" s="19" t="s">
        <v>0</v>
      </c>
      <c r="C22" s="30" t="s">
        <v>1</v>
      </c>
      <c r="D22" s="29" t="s">
        <v>2</v>
      </c>
      <c r="E22" s="29" t="s">
        <v>72</v>
      </c>
      <c r="F22" s="29" t="s">
        <v>114</v>
      </c>
      <c r="G22" s="29" t="s">
        <v>3</v>
      </c>
      <c r="H22" s="29" t="s">
        <v>4</v>
      </c>
      <c r="I22" s="29" t="s">
        <v>5</v>
      </c>
      <c r="J22" s="29" t="s">
        <v>6</v>
      </c>
      <c r="K22" s="29" t="s">
        <v>7</v>
      </c>
    </row>
    <row r="23" spans="2:11" x14ac:dyDescent="0.35">
      <c r="B23" s="21" t="s">
        <v>8</v>
      </c>
      <c r="C23" s="58">
        <f>Budget!B23</f>
        <v>9</v>
      </c>
      <c r="D23" s="84">
        <f>Budget!C23</f>
        <v>4</v>
      </c>
      <c r="E23" s="89">
        <f>Budget!E23</f>
        <v>50</v>
      </c>
      <c r="F23" s="22">
        <f>Budget!F23</f>
        <v>450</v>
      </c>
      <c r="G23" s="22">
        <f>Budget!G23</f>
        <v>450</v>
      </c>
      <c r="H23" s="22">
        <f>Budget!H23</f>
        <v>464</v>
      </c>
      <c r="I23" s="22">
        <f>Budget!I23</f>
        <v>477</v>
      </c>
      <c r="J23" s="22">
        <f>Budget!J23</f>
        <v>492</v>
      </c>
      <c r="K23" s="22">
        <f>Budget!K23</f>
        <v>506</v>
      </c>
    </row>
    <row r="24" spans="2:11" x14ac:dyDescent="0.35">
      <c r="B24" s="12" t="s">
        <v>9</v>
      </c>
      <c r="C24" s="57">
        <f>Budget!B24</f>
        <v>8</v>
      </c>
      <c r="D24" s="85">
        <f>Budget!C24</f>
        <v>6</v>
      </c>
      <c r="E24" s="85">
        <f>Budget!E24</f>
        <v>217</v>
      </c>
      <c r="F24" s="20">
        <f>Budget!F24</f>
        <v>1736</v>
      </c>
      <c r="G24" s="20">
        <f>Budget!G24</f>
        <v>1736</v>
      </c>
      <c r="H24" s="20">
        <f>Budget!H24</f>
        <v>1788</v>
      </c>
      <c r="I24" s="20">
        <f>Budget!I24</f>
        <v>1842</v>
      </c>
      <c r="J24" s="20">
        <f>Budget!J24</f>
        <v>1897</v>
      </c>
      <c r="K24" s="20">
        <f>Budget!K24</f>
        <v>1954</v>
      </c>
    </row>
    <row r="25" spans="2:11" x14ac:dyDescent="0.35">
      <c r="B25" s="12" t="s">
        <v>10</v>
      </c>
      <c r="C25" s="57">
        <f>Budget!B25</f>
        <v>250</v>
      </c>
      <c r="D25" s="85">
        <f>Budget!C25</f>
        <v>3</v>
      </c>
      <c r="E25" s="97">
        <f>Budget!E25</f>
        <v>0</v>
      </c>
      <c r="F25" s="90">
        <f>Budget!F25</f>
        <v>0</v>
      </c>
      <c r="G25" s="20">
        <f>Budget!G25</f>
        <v>0</v>
      </c>
      <c r="H25" s="20">
        <f>Budget!H25</f>
        <v>0</v>
      </c>
      <c r="I25" s="20">
        <f>Budget!I25</f>
        <v>0</v>
      </c>
      <c r="J25" s="20">
        <f>Budget!J25</f>
        <v>0</v>
      </c>
      <c r="K25" s="20">
        <f>Budget!K25</f>
        <v>0</v>
      </c>
    </row>
    <row r="26" spans="2:11" x14ac:dyDescent="0.35">
      <c r="B26" s="12" t="s">
        <v>11</v>
      </c>
      <c r="C26" s="57">
        <f>Budget!B26</f>
        <v>25000</v>
      </c>
      <c r="D26" s="85">
        <f>Budget!C26</f>
        <v>20</v>
      </c>
      <c r="E26" s="85">
        <f>Budget!E26</f>
        <v>0</v>
      </c>
      <c r="F26" s="91">
        <f>Budget!F26</f>
        <v>0</v>
      </c>
      <c r="G26" s="20">
        <f>Budget!G26</f>
        <v>0</v>
      </c>
      <c r="H26" s="20">
        <f>Budget!H26</f>
        <v>0</v>
      </c>
      <c r="I26" s="20">
        <f>Budget!I26</f>
        <v>0</v>
      </c>
      <c r="J26" s="20">
        <f>Budget!J26</f>
        <v>0</v>
      </c>
      <c r="K26" s="20">
        <f>Budget!K26</f>
        <v>0</v>
      </c>
    </row>
    <row r="27" spans="2:11" x14ac:dyDescent="0.35">
      <c r="B27" s="12" t="s">
        <v>69</v>
      </c>
      <c r="C27" s="57">
        <f>Budget!B27</f>
        <v>35000</v>
      </c>
      <c r="D27" s="85">
        <f>Budget!C27</f>
        <v>20</v>
      </c>
      <c r="E27" s="85">
        <f>Budget!E27</f>
        <v>0</v>
      </c>
      <c r="F27" s="91">
        <f>Budget!F27</f>
        <v>0</v>
      </c>
      <c r="G27" s="20">
        <f>Budget!G27</f>
        <v>0</v>
      </c>
      <c r="H27" s="20">
        <f>Budget!H27</f>
        <v>0</v>
      </c>
      <c r="I27" s="20">
        <f>Budget!I27</f>
        <v>0</v>
      </c>
      <c r="J27" s="20">
        <f>Budget!J27</f>
        <v>0</v>
      </c>
      <c r="K27" s="20">
        <f>Budget!K27</f>
        <v>0</v>
      </c>
    </row>
    <row r="28" spans="2:11" x14ac:dyDescent="0.35">
      <c r="B28" s="12" t="s">
        <v>70</v>
      </c>
      <c r="C28" s="57">
        <f>Budget!B28</f>
        <v>10000</v>
      </c>
      <c r="D28" s="85">
        <f>Budget!C28</f>
        <v>10</v>
      </c>
      <c r="E28" s="85">
        <f>Budget!E28</f>
        <v>0</v>
      </c>
      <c r="F28" s="91">
        <f>Budget!F28</f>
        <v>0</v>
      </c>
      <c r="G28" s="20">
        <f>Budget!G28</f>
        <v>0</v>
      </c>
      <c r="H28" s="20">
        <f>Budget!H28</f>
        <v>0</v>
      </c>
      <c r="I28" s="20">
        <f>Budget!I28</f>
        <v>0</v>
      </c>
      <c r="J28" s="20">
        <f>Budget!J28</f>
        <v>0</v>
      </c>
      <c r="K28" s="20">
        <f>Budget!K28</f>
        <v>0</v>
      </c>
    </row>
    <row r="29" spans="2:11" ht="44" thickBot="1" x14ac:dyDescent="0.4">
      <c r="B29" s="62" t="s">
        <v>71</v>
      </c>
      <c r="C29" s="59">
        <f>Budget!B29</f>
        <v>1000</v>
      </c>
      <c r="D29" s="86">
        <f>Budget!C29</f>
        <v>10</v>
      </c>
      <c r="E29" s="86">
        <f>Budget!E29</f>
        <v>0</v>
      </c>
      <c r="F29" s="92">
        <f>Budget!F29</f>
        <v>0</v>
      </c>
      <c r="G29" s="24">
        <f>Budget!G29</f>
        <v>0</v>
      </c>
      <c r="H29" s="24">
        <f>Budget!H29</f>
        <v>0</v>
      </c>
      <c r="I29" s="24">
        <f>Budget!I29</f>
        <v>0</v>
      </c>
      <c r="J29" s="24">
        <f>Budget!J29</f>
        <v>0</v>
      </c>
      <c r="K29" s="24">
        <f>Budget!K29</f>
        <v>0</v>
      </c>
    </row>
    <row r="30" spans="2:11" x14ac:dyDescent="0.35">
      <c r="B30" s="3" t="s">
        <v>45</v>
      </c>
      <c r="C30" s="4"/>
      <c r="D30" s="1"/>
      <c r="E30" s="1"/>
      <c r="F30" s="11"/>
      <c r="G30" s="11">
        <f>SUM(G23:G29)</f>
        <v>2186</v>
      </c>
      <c r="H30" s="11">
        <f>SUM(H23:H29)</f>
        <v>2252</v>
      </c>
      <c r="I30" s="11">
        <f>SUM(I23:I29)</f>
        <v>2319</v>
      </c>
      <c r="J30" s="11">
        <f>SUM(J23:J29)</f>
        <v>2389</v>
      </c>
      <c r="K30" s="11">
        <f>SUM(K23:K29)</f>
        <v>2460</v>
      </c>
    </row>
    <row r="31" spans="2:11" x14ac:dyDescent="0.35">
      <c r="B31" s="1"/>
      <c r="C31" s="1"/>
      <c r="D31" s="1"/>
      <c r="E31" s="4"/>
      <c r="F31" s="1"/>
      <c r="G31" s="1"/>
      <c r="H31" s="1"/>
      <c r="I31" s="1"/>
      <c r="J31" s="1"/>
      <c r="K31" s="1"/>
    </row>
    <row r="32" spans="2:11" x14ac:dyDescent="0.35">
      <c r="B32" s="68"/>
      <c r="C32" s="68"/>
      <c r="D32" s="68"/>
      <c r="E32" s="4"/>
      <c r="F32" s="1"/>
      <c r="G32" s="1"/>
      <c r="H32" s="1"/>
      <c r="I32" s="1"/>
      <c r="J32" s="1"/>
      <c r="K32" s="1"/>
    </row>
    <row r="33" spans="2:11" x14ac:dyDescent="0.35">
      <c r="B33" s="68"/>
      <c r="C33" s="68"/>
      <c r="D33" s="68"/>
      <c r="E33" s="4"/>
      <c r="F33" s="1"/>
      <c r="G33" s="1"/>
      <c r="H33" s="1"/>
      <c r="I33" s="1"/>
      <c r="J33" s="1"/>
      <c r="K33" s="1"/>
    </row>
    <row r="34" spans="2:11" x14ac:dyDescent="0.35">
      <c r="B34" s="68"/>
      <c r="C34" s="68"/>
      <c r="D34" s="68"/>
      <c r="E34" s="4"/>
      <c r="F34" s="1"/>
      <c r="G34" s="1"/>
      <c r="H34" s="1"/>
      <c r="I34" s="1"/>
      <c r="J34" s="1"/>
      <c r="K34" s="1"/>
    </row>
    <row r="35" spans="2:11" x14ac:dyDescent="0.35">
      <c r="B35" s="68"/>
      <c r="C35" s="68"/>
      <c r="D35" s="68"/>
      <c r="E35" s="4"/>
      <c r="F35" s="1"/>
      <c r="G35" s="1"/>
      <c r="H35" s="1"/>
      <c r="I35" s="1"/>
      <c r="J35" s="1"/>
      <c r="K35" s="1"/>
    </row>
    <row r="36" spans="2:11" x14ac:dyDescent="0.35">
      <c r="B36" s="68"/>
      <c r="C36" s="68"/>
      <c r="D36" s="68"/>
      <c r="E36" s="4"/>
      <c r="F36" s="1"/>
      <c r="G36" s="1"/>
      <c r="H36" s="1"/>
      <c r="I36" s="1"/>
      <c r="J36" s="1"/>
      <c r="K36" s="1"/>
    </row>
    <row r="37" spans="2:11" x14ac:dyDescent="0.35">
      <c r="B37" s="68"/>
      <c r="C37" s="68"/>
      <c r="D37" s="68"/>
      <c r="E37" s="4"/>
      <c r="F37" s="1"/>
      <c r="G37" s="1"/>
      <c r="H37" s="1"/>
      <c r="I37" s="1"/>
      <c r="J37" s="1"/>
      <c r="K37" s="1"/>
    </row>
    <row r="38" spans="2:11" ht="18.5" x14ac:dyDescent="0.45">
      <c r="B38" s="343" t="s">
        <v>14</v>
      </c>
      <c r="C38" s="343"/>
      <c r="D38" s="343"/>
      <c r="E38" s="343"/>
      <c r="F38" s="343"/>
      <c r="G38" s="343"/>
      <c r="H38" s="343"/>
      <c r="I38" s="343"/>
      <c r="J38" s="1"/>
      <c r="K38" s="1"/>
    </row>
    <row r="39" spans="2:11" ht="44" thickBot="1" x14ac:dyDescent="0.4">
      <c r="B39" s="29" t="s">
        <v>13</v>
      </c>
      <c r="C39" s="19" t="s">
        <v>104</v>
      </c>
      <c r="D39" s="78" t="s">
        <v>107</v>
      </c>
      <c r="E39" s="30" t="s">
        <v>3</v>
      </c>
      <c r="F39" s="29" t="s">
        <v>4</v>
      </c>
      <c r="G39" s="29" t="s">
        <v>5</v>
      </c>
      <c r="H39" s="29" t="s">
        <v>6</v>
      </c>
      <c r="I39" s="29" t="s">
        <v>7</v>
      </c>
      <c r="J39" s="1"/>
      <c r="K39" s="1"/>
    </row>
    <row r="40" spans="2:11" x14ac:dyDescent="0.35">
      <c r="B40" s="37" t="s">
        <v>14</v>
      </c>
      <c r="C40" s="1"/>
      <c r="D40" s="1"/>
      <c r="E40" s="28"/>
      <c r="F40" s="6"/>
      <c r="G40" s="6"/>
      <c r="H40" s="6"/>
      <c r="I40" s="63"/>
      <c r="J40" s="1"/>
      <c r="K40" s="1"/>
    </row>
    <row r="41" spans="2:11" x14ac:dyDescent="0.35">
      <c r="B41" s="21" t="s">
        <v>15</v>
      </c>
      <c r="C41" s="73">
        <f>$E$5</f>
        <v>0</v>
      </c>
      <c r="D41" s="61">
        <f>I6</f>
        <v>0.01</v>
      </c>
      <c r="E41" s="26">
        <f>C41*D41</f>
        <v>0</v>
      </c>
      <c r="F41" s="26">
        <v>6000</v>
      </c>
      <c r="G41" s="26">
        <v>6000</v>
      </c>
      <c r="H41" s="26">
        <v>6000</v>
      </c>
      <c r="I41" s="26">
        <v>6000</v>
      </c>
      <c r="J41" s="8"/>
      <c r="K41" s="8"/>
    </row>
    <row r="42" spans="2:11" x14ac:dyDescent="0.35">
      <c r="B42" s="12" t="s">
        <v>105</v>
      </c>
      <c r="C42" s="74">
        <f>F18+F19</f>
        <v>1504</v>
      </c>
      <c r="D42" s="57">
        <f>Budget!C36</f>
        <v>2</v>
      </c>
      <c r="E42" s="26">
        <f>C42*D42</f>
        <v>3008</v>
      </c>
      <c r="F42" s="25">
        <f>ROUND(E42+E42*0.03,0)</f>
        <v>3098</v>
      </c>
      <c r="G42" s="25">
        <f>ROUND(F42+F42*0.03,0)</f>
        <v>3191</v>
      </c>
      <c r="H42" s="25">
        <f t="shared" ref="H42:I53" si="0">ROUND(G42+G42*0.03,0)</f>
        <v>3287</v>
      </c>
      <c r="I42" s="25">
        <f t="shared" si="0"/>
        <v>3386</v>
      </c>
      <c r="J42" s="1"/>
      <c r="K42" s="1"/>
    </row>
    <row r="43" spans="2:11" x14ac:dyDescent="0.35">
      <c r="B43" s="12" t="s">
        <v>16</v>
      </c>
      <c r="C43" s="82">
        <f>Budget!B37</f>
        <v>100</v>
      </c>
      <c r="D43" s="57">
        <f>Budget!C37</f>
        <v>3.5</v>
      </c>
      <c r="E43" s="26">
        <f>C43*D43</f>
        <v>350</v>
      </c>
      <c r="F43" s="25">
        <f t="shared" ref="F43:G49" si="1">ROUND(E43+E43*0.03,0)</f>
        <v>361</v>
      </c>
      <c r="G43" s="25">
        <f t="shared" si="1"/>
        <v>372</v>
      </c>
      <c r="H43" s="25">
        <f t="shared" si="0"/>
        <v>383</v>
      </c>
      <c r="I43" s="25">
        <f t="shared" si="0"/>
        <v>394</v>
      </c>
      <c r="J43" s="1"/>
      <c r="K43" s="1"/>
    </row>
    <row r="44" spans="2:11" x14ac:dyDescent="0.35">
      <c r="B44" s="12" t="s">
        <v>17</v>
      </c>
      <c r="C44" s="82">
        <f>Budget!B38</f>
        <v>100</v>
      </c>
      <c r="D44" s="57">
        <f>Budget!C38</f>
        <v>3.5</v>
      </c>
      <c r="E44" s="26">
        <f>C44*D44</f>
        <v>350</v>
      </c>
      <c r="F44" s="25">
        <f t="shared" si="1"/>
        <v>361</v>
      </c>
      <c r="G44" s="25">
        <f t="shared" si="1"/>
        <v>372</v>
      </c>
      <c r="H44" s="25">
        <f t="shared" si="0"/>
        <v>383</v>
      </c>
      <c r="I44" s="25">
        <f t="shared" si="0"/>
        <v>394</v>
      </c>
      <c r="J44" s="1"/>
      <c r="K44" s="1"/>
    </row>
    <row r="45" spans="2:11" x14ac:dyDescent="0.35">
      <c r="B45" s="12" t="s">
        <v>18</v>
      </c>
      <c r="C45" s="95">
        <f>Budget!B39</f>
        <v>1</v>
      </c>
      <c r="D45" s="57">
        <f>Budget!C39</f>
        <v>100</v>
      </c>
      <c r="E45" s="26">
        <f>C45*D45</f>
        <v>100</v>
      </c>
      <c r="F45" s="25">
        <f t="shared" si="1"/>
        <v>103</v>
      </c>
      <c r="G45" s="25">
        <f t="shared" si="1"/>
        <v>106</v>
      </c>
      <c r="H45" s="25">
        <f t="shared" si="0"/>
        <v>109</v>
      </c>
      <c r="I45" s="25">
        <f t="shared" si="0"/>
        <v>112</v>
      </c>
      <c r="J45" s="1"/>
      <c r="K45" s="1"/>
    </row>
    <row r="46" spans="2:11" x14ac:dyDescent="0.35">
      <c r="B46" s="12" t="s">
        <v>77</v>
      </c>
      <c r="C46" s="77"/>
      <c r="D46" s="57">
        <f>Budget!C40</f>
        <v>3500</v>
      </c>
      <c r="E46" s="26">
        <f>D46</f>
        <v>3500</v>
      </c>
      <c r="F46" s="25">
        <f t="shared" si="1"/>
        <v>3605</v>
      </c>
      <c r="G46" s="25">
        <f t="shared" si="1"/>
        <v>3713</v>
      </c>
      <c r="H46" s="25">
        <f t="shared" si="0"/>
        <v>3824</v>
      </c>
      <c r="I46" s="25">
        <f t="shared" si="0"/>
        <v>3939</v>
      </c>
      <c r="J46" s="1"/>
      <c r="K46" s="1"/>
    </row>
    <row r="47" spans="2:11" x14ac:dyDescent="0.35">
      <c r="B47" s="12" t="s">
        <v>78</v>
      </c>
      <c r="C47" s="76">
        <f>ROUND(0.75*F18+0.9*F19,0)</f>
        <v>1324</v>
      </c>
      <c r="D47" s="57">
        <f>Budget!C41</f>
        <v>1.25</v>
      </c>
      <c r="E47" s="26">
        <f>C47*D47</f>
        <v>1655</v>
      </c>
      <c r="F47" s="25">
        <f t="shared" si="1"/>
        <v>1705</v>
      </c>
      <c r="G47" s="25">
        <f t="shared" si="1"/>
        <v>1756</v>
      </c>
      <c r="H47" s="25">
        <f t="shared" si="0"/>
        <v>1809</v>
      </c>
      <c r="I47" s="25">
        <f t="shared" si="0"/>
        <v>1863</v>
      </c>
      <c r="J47" s="1"/>
      <c r="K47" s="1"/>
    </row>
    <row r="48" spans="2:11" x14ac:dyDescent="0.35">
      <c r="B48" s="12" t="s">
        <v>108</v>
      </c>
      <c r="C48" s="76"/>
      <c r="D48" s="57">
        <f>Budget!C42</f>
        <v>8000</v>
      </c>
      <c r="E48" s="26">
        <f>D48</f>
        <v>8000</v>
      </c>
      <c r="F48" s="26">
        <f t="shared" si="1"/>
        <v>8240</v>
      </c>
      <c r="G48" s="26">
        <f t="shared" si="1"/>
        <v>8487</v>
      </c>
      <c r="H48" s="26">
        <f t="shared" si="0"/>
        <v>8742</v>
      </c>
      <c r="I48" s="26">
        <f t="shared" si="0"/>
        <v>9004</v>
      </c>
      <c r="J48" s="1"/>
      <c r="K48" s="1"/>
    </row>
    <row r="49" spans="2:11" x14ac:dyDescent="0.35">
      <c r="B49" s="12" t="s">
        <v>66</v>
      </c>
      <c r="C49" s="76"/>
      <c r="D49" s="57">
        <f>Budget!C43</f>
        <v>1000</v>
      </c>
      <c r="E49" s="26">
        <f>D49</f>
        <v>1000</v>
      </c>
      <c r="F49" s="25">
        <f t="shared" si="1"/>
        <v>1030</v>
      </c>
      <c r="G49" s="25">
        <f t="shared" si="1"/>
        <v>1061</v>
      </c>
      <c r="H49" s="25">
        <f t="shared" si="0"/>
        <v>1093</v>
      </c>
      <c r="I49" s="25">
        <f t="shared" si="0"/>
        <v>1126</v>
      </c>
      <c r="J49" s="1"/>
      <c r="K49" s="1"/>
    </row>
    <row r="50" spans="2:11" x14ac:dyDescent="0.35">
      <c r="B50" s="38" t="s">
        <v>68</v>
      </c>
      <c r="C50" s="72"/>
      <c r="D50" s="72"/>
      <c r="E50" s="31"/>
      <c r="F50" s="31"/>
      <c r="G50" s="31"/>
      <c r="H50" s="31"/>
      <c r="I50" s="32"/>
      <c r="J50" s="8"/>
      <c r="K50" s="8"/>
    </row>
    <row r="51" spans="2:11" x14ac:dyDescent="0.35">
      <c r="B51" s="12" t="s">
        <v>48</v>
      </c>
      <c r="C51" s="42">
        <f>Budget!B45</f>
        <v>1</v>
      </c>
      <c r="D51" s="42">
        <f>Budget!C45</f>
        <v>750</v>
      </c>
      <c r="E51" s="61">
        <v>750</v>
      </c>
      <c r="F51" s="25">
        <f>ROUND(E51+E51*0.03,0)</f>
        <v>773</v>
      </c>
      <c r="G51" s="25">
        <f>ROUND(F51+F51*0.03,0)</f>
        <v>796</v>
      </c>
      <c r="H51" s="25">
        <f t="shared" si="0"/>
        <v>820</v>
      </c>
      <c r="I51" s="25">
        <f t="shared" si="0"/>
        <v>845</v>
      </c>
      <c r="J51" s="1"/>
      <c r="K51" s="1"/>
    </row>
    <row r="52" spans="2:11" x14ac:dyDescent="0.35">
      <c r="B52" s="12" t="s">
        <v>49</v>
      </c>
      <c r="C52" s="42">
        <f>Budget!B46</f>
        <v>1</v>
      </c>
      <c r="D52" s="42">
        <f>Budget!C46</f>
        <v>250</v>
      </c>
      <c r="E52" s="61">
        <v>250</v>
      </c>
      <c r="F52" s="25">
        <v>250</v>
      </c>
      <c r="G52" s="25">
        <v>250</v>
      </c>
      <c r="H52" s="25">
        <v>250</v>
      </c>
      <c r="I52" s="25">
        <v>250</v>
      </c>
      <c r="J52" s="1"/>
      <c r="K52" s="1"/>
    </row>
    <row r="53" spans="2:11" x14ac:dyDescent="0.35">
      <c r="B53" s="12" t="s">
        <v>20</v>
      </c>
      <c r="C53" s="42">
        <f>Budget!B47</f>
        <v>1</v>
      </c>
      <c r="D53" s="42">
        <f>Budget!C47</f>
        <v>500</v>
      </c>
      <c r="E53" s="61">
        <v>500</v>
      </c>
      <c r="F53" s="25">
        <f>ROUND(E53+E53*0.03,0)</f>
        <v>515</v>
      </c>
      <c r="G53" s="25">
        <f>ROUND(F53+F53*0.03,0)</f>
        <v>530</v>
      </c>
      <c r="H53" s="25">
        <f t="shared" si="0"/>
        <v>546</v>
      </c>
      <c r="I53" s="25">
        <f t="shared" si="0"/>
        <v>562</v>
      </c>
      <c r="J53" s="1"/>
      <c r="K53" s="1"/>
    </row>
    <row r="54" spans="2:11" x14ac:dyDescent="0.35">
      <c r="B54" s="69" t="s">
        <v>101</v>
      </c>
      <c r="C54" s="81">
        <f>Budget!B48</f>
        <v>1</v>
      </c>
      <c r="D54" s="81">
        <f>Budget!C48</f>
        <v>54</v>
      </c>
      <c r="E54" s="79">
        <v>27</v>
      </c>
      <c r="F54" s="70">
        <v>27</v>
      </c>
      <c r="G54" s="70">
        <v>27</v>
      </c>
      <c r="H54" s="70">
        <v>27</v>
      </c>
      <c r="I54" s="70">
        <v>27</v>
      </c>
      <c r="J54" s="1"/>
      <c r="K54" s="1"/>
    </row>
    <row r="55" spans="2:11" ht="16" thickBot="1" x14ac:dyDescent="0.4">
      <c r="B55" s="23" t="s">
        <v>21</v>
      </c>
      <c r="C55" s="43">
        <f>Budget!B49</f>
        <v>1</v>
      </c>
      <c r="D55" s="43">
        <f>Budget!C49</f>
        <v>100</v>
      </c>
      <c r="E55" s="80">
        <v>100</v>
      </c>
      <c r="F55" s="71">
        <v>100</v>
      </c>
      <c r="G55" s="71">
        <v>100</v>
      </c>
      <c r="H55" s="71">
        <v>100</v>
      </c>
      <c r="I55" s="71">
        <v>100</v>
      </c>
      <c r="J55" s="1"/>
      <c r="K55" s="1"/>
    </row>
    <row r="56" spans="2:11" x14ac:dyDescent="0.35">
      <c r="B56" s="3" t="s">
        <v>22</v>
      </c>
      <c r="C56" s="3"/>
      <c r="D56" s="3"/>
      <c r="E56" s="7">
        <f>SUM(E41:E55)</f>
        <v>19590</v>
      </c>
      <c r="F56" s="7">
        <f>SUM(F41:F55)</f>
        <v>26168</v>
      </c>
      <c r="G56" s="7">
        <f>SUM(G41:G55)</f>
        <v>26761</v>
      </c>
      <c r="H56" s="7">
        <f>SUM(H41:H55)</f>
        <v>27373</v>
      </c>
      <c r="I56" s="7">
        <f>SUM(I41:I55)</f>
        <v>28002</v>
      </c>
      <c r="J56" s="1"/>
      <c r="K56" s="1"/>
    </row>
    <row r="57" spans="2:11" x14ac:dyDescent="0.35">
      <c r="B57" s="3"/>
      <c r="C57" s="3"/>
      <c r="D57" s="3"/>
      <c r="E57" s="7"/>
      <c r="F57" s="7"/>
      <c r="G57" s="7"/>
      <c r="H57" s="7"/>
      <c r="I57" s="7"/>
      <c r="J57" s="1"/>
      <c r="K57" s="1"/>
    </row>
    <row r="58" spans="2:11" x14ac:dyDescent="0.35">
      <c r="B58" s="3"/>
      <c r="C58" s="3"/>
      <c r="D58" s="3"/>
      <c r="E58" s="7"/>
      <c r="F58" s="7"/>
      <c r="G58" s="7"/>
      <c r="H58" s="7"/>
      <c r="I58" s="7"/>
      <c r="J58" s="1"/>
      <c r="K58" s="1"/>
    </row>
    <row r="59" spans="2:11" x14ac:dyDescent="0.35">
      <c r="B59" s="1"/>
      <c r="C59" s="1"/>
      <c r="D59" s="1"/>
      <c r="E59" s="5"/>
      <c r="F59" s="5"/>
      <c r="G59" s="5"/>
      <c r="H59" s="5"/>
      <c r="I59" s="5"/>
      <c r="J59" s="1"/>
      <c r="K59" s="1"/>
    </row>
    <row r="60" spans="2:11" ht="18.5" x14ac:dyDescent="0.45">
      <c r="B60" s="343" t="s">
        <v>76</v>
      </c>
      <c r="C60" s="343"/>
      <c r="D60" s="343"/>
      <c r="E60" s="343"/>
      <c r="F60" s="343"/>
      <c r="G60" s="343"/>
      <c r="H60" s="343"/>
      <c r="I60" s="343"/>
      <c r="J60" s="1"/>
      <c r="K60" s="1"/>
    </row>
    <row r="61" spans="2:11" ht="16" thickBot="1" x14ac:dyDescent="0.4">
      <c r="B61" s="33"/>
      <c r="C61" s="30" t="s">
        <v>3</v>
      </c>
      <c r="D61" s="29" t="s">
        <v>4</v>
      </c>
      <c r="E61" s="29" t="s">
        <v>5</v>
      </c>
      <c r="F61" s="29" t="s">
        <v>6</v>
      </c>
      <c r="G61" s="29" t="s">
        <v>7</v>
      </c>
      <c r="H61" s="1"/>
      <c r="I61" s="1"/>
      <c r="J61" s="1"/>
      <c r="K61" s="1"/>
    </row>
    <row r="62" spans="2:11" x14ac:dyDescent="0.35">
      <c r="B62" s="21" t="s">
        <v>23</v>
      </c>
      <c r="C62" s="93">
        <f>Budget!$B$57</f>
        <v>0</v>
      </c>
      <c r="D62" s="35">
        <f>C69</f>
        <v>79023.999999999985</v>
      </c>
      <c r="E62" s="35">
        <f>D69</f>
        <v>151403.99999999997</v>
      </c>
      <c r="F62" s="35">
        <f>E69</f>
        <v>223123.99999999994</v>
      </c>
      <c r="G62" s="35">
        <f>F69</f>
        <v>294161.99999999994</v>
      </c>
      <c r="H62" s="1"/>
      <c r="I62" s="1"/>
      <c r="J62" s="1"/>
      <c r="K62" s="1"/>
    </row>
    <row r="63" spans="2:11" x14ac:dyDescent="0.35">
      <c r="B63" s="12" t="s">
        <v>24</v>
      </c>
      <c r="C63" s="34">
        <f>F91</f>
        <v>100799.99999999999</v>
      </c>
      <c r="D63" s="34">
        <f>F91</f>
        <v>100799.99999999999</v>
      </c>
      <c r="E63" s="34">
        <f>F91</f>
        <v>100799.99999999999</v>
      </c>
      <c r="F63" s="34">
        <f>F91</f>
        <v>100799.99999999999</v>
      </c>
      <c r="G63" s="34">
        <f>F91</f>
        <v>100799.99999999999</v>
      </c>
      <c r="H63" s="1"/>
      <c r="I63" s="1"/>
      <c r="J63" s="1"/>
      <c r="K63" s="1"/>
    </row>
    <row r="64" spans="2:11" x14ac:dyDescent="0.35">
      <c r="B64" s="12" t="s">
        <v>25</v>
      </c>
      <c r="C64" s="34"/>
      <c r="D64" s="34"/>
      <c r="E64" s="34"/>
      <c r="F64" s="34"/>
      <c r="G64" s="34"/>
      <c r="H64" s="1"/>
      <c r="I64" s="1"/>
      <c r="J64" s="1"/>
      <c r="K64" s="1"/>
    </row>
    <row r="65" spans="2:11" x14ac:dyDescent="0.35">
      <c r="B65" s="12" t="s">
        <v>64</v>
      </c>
      <c r="C65" s="34">
        <f>E56</f>
        <v>19590</v>
      </c>
      <c r="D65" s="34">
        <f>F56</f>
        <v>26168</v>
      </c>
      <c r="E65" s="34">
        <f>G56</f>
        <v>26761</v>
      </c>
      <c r="F65" s="34">
        <f>H56</f>
        <v>27373</v>
      </c>
      <c r="G65" s="34">
        <f>I56</f>
        <v>28002</v>
      </c>
      <c r="H65" s="1"/>
      <c r="I65" s="1"/>
      <c r="J65" s="1"/>
      <c r="K65" s="1"/>
    </row>
    <row r="66" spans="2:11" x14ac:dyDescent="0.35">
      <c r="B66" s="12" t="s">
        <v>65</v>
      </c>
      <c r="C66" s="34">
        <f>G30</f>
        <v>2186</v>
      </c>
      <c r="D66" s="34">
        <f>H30</f>
        <v>2252</v>
      </c>
      <c r="E66" s="34">
        <f>I30</f>
        <v>2319</v>
      </c>
      <c r="F66" s="34">
        <f>J30</f>
        <v>2389</v>
      </c>
      <c r="G66" s="34">
        <f>K30</f>
        <v>2460</v>
      </c>
      <c r="H66" s="1"/>
      <c r="I66" s="1"/>
      <c r="J66" s="1"/>
      <c r="K66" s="1"/>
    </row>
    <row r="67" spans="2:11" x14ac:dyDescent="0.35">
      <c r="B67" s="12" t="s">
        <v>28</v>
      </c>
      <c r="C67" s="34">
        <f>C65+C66</f>
        <v>21776</v>
      </c>
      <c r="D67" s="34">
        <f>D65+D66</f>
        <v>28420</v>
      </c>
      <c r="E67" s="34">
        <f>E65+E66</f>
        <v>29080</v>
      </c>
      <c r="F67" s="34">
        <f>F65+F66</f>
        <v>29762</v>
      </c>
      <c r="G67" s="34">
        <f>G65+G66</f>
        <v>30462</v>
      </c>
      <c r="H67" s="1"/>
      <c r="I67" s="1"/>
      <c r="J67" s="1"/>
      <c r="K67" s="1"/>
    </row>
    <row r="68" spans="2:11" x14ac:dyDescent="0.35">
      <c r="B68" s="12" t="s">
        <v>26</v>
      </c>
      <c r="C68" s="34">
        <f>C63-C67</f>
        <v>79023.999999999985</v>
      </c>
      <c r="D68" s="34">
        <f>D63-D67</f>
        <v>72379.999999999985</v>
      </c>
      <c r="E68" s="34">
        <f>E63-E67</f>
        <v>71719.999999999985</v>
      </c>
      <c r="F68" s="34">
        <f>F63-F67</f>
        <v>71037.999999999985</v>
      </c>
      <c r="G68" s="34">
        <f>G63-G67</f>
        <v>70337.999999999985</v>
      </c>
      <c r="H68" s="1"/>
      <c r="I68" s="1"/>
      <c r="J68" s="1"/>
      <c r="K68" s="1"/>
    </row>
    <row r="69" spans="2:11" x14ac:dyDescent="0.35">
      <c r="B69" s="12" t="s">
        <v>27</v>
      </c>
      <c r="C69" s="34">
        <f>C62+C68</f>
        <v>79023.999999999985</v>
      </c>
      <c r="D69" s="34">
        <f>D62+D68</f>
        <v>151403.99999999997</v>
      </c>
      <c r="E69" s="34">
        <f>E62+E68</f>
        <v>223123.99999999994</v>
      </c>
      <c r="F69" s="34">
        <f>F62+F68</f>
        <v>294161.99999999994</v>
      </c>
      <c r="G69" s="34">
        <f>G62+G68</f>
        <v>364499.99999999994</v>
      </c>
      <c r="H69" s="1"/>
      <c r="I69" s="1"/>
      <c r="J69" s="1"/>
      <c r="K69" s="1"/>
    </row>
    <row r="70" spans="2:11" x14ac:dyDescent="0.35">
      <c r="B70" s="1"/>
      <c r="C70" s="1"/>
      <c r="D70" s="1"/>
      <c r="E70" s="36"/>
      <c r="F70" s="36"/>
      <c r="G70" s="36"/>
      <c r="H70" s="36"/>
      <c r="I70" s="36"/>
      <c r="J70" s="1"/>
      <c r="K70" s="1"/>
    </row>
    <row r="71" spans="2:11" ht="21.5" x14ac:dyDescent="0.75">
      <c r="B71" s="68"/>
      <c r="C71" s="68"/>
      <c r="D71" s="68"/>
      <c r="E71" s="342" t="s">
        <v>115</v>
      </c>
      <c r="F71" s="342"/>
      <c r="G71" s="1"/>
      <c r="H71" s="1"/>
      <c r="I71" s="1"/>
      <c r="J71" s="1"/>
      <c r="K71" s="1"/>
    </row>
    <row r="72" spans="2:11" x14ac:dyDescent="0.35">
      <c r="B72" s="68"/>
      <c r="C72" s="68"/>
      <c r="D72" s="68"/>
      <c r="E72" s="88"/>
      <c r="F72" s="88"/>
      <c r="G72" s="1"/>
      <c r="H72" s="1"/>
      <c r="I72" s="1"/>
      <c r="J72" s="1"/>
      <c r="K72" s="1"/>
    </row>
    <row r="73" spans="2:11" ht="16" thickBot="1" x14ac:dyDescent="0.4">
      <c r="B73" s="19" t="s">
        <v>0</v>
      </c>
      <c r="C73" s="30" t="s">
        <v>1</v>
      </c>
      <c r="D73" s="29" t="s">
        <v>2</v>
      </c>
      <c r="E73" s="29" t="s">
        <v>3</v>
      </c>
      <c r="F73" s="29" t="s">
        <v>4</v>
      </c>
      <c r="G73" s="29" t="s">
        <v>5</v>
      </c>
      <c r="H73" s="29" t="s">
        <v>6</v>
      </c>
      <c r="I73" s="29" t="s">
        <v>7</v>
      </c>
      <c r="J73" s="1"/>
      <c r="K73" s="1"/>
    </row>
    <row r="74" spans="2:11" x14ac:dyDescent="0.35">
      <c r="B74" s="21" t="s">
        <v>8</v>
      </c>
      <c r="C74" s="87">
        <f t="shared" ref="C74:C80" si="2">C23</f>
        <v>9</v>
      </c>
      <c r="D74" s="84">
        <v>4</v>
      </c>
      <c r="E74" s="22">
        <f>Budget!D70</f>
        <v>450</v>
      </c>
      <c r="F74" s="22">
        <f>Budget!E70</f>
        <v>464</v>
      </c>
      <c r="G74" s="22">
        <f>Budget!F70</f>
        <v>478</v>
      </c>
      <c r="H74" s="22">
        <f>Budget!G70</f>
        <v>492</v>
      </c>
      <c r="I74" s="22">
        <f>Budget!H70</f>
        <v>507</v>
      </c>
      <c r="J74" s="1"/>
      <c r="K74" s="1"/>
    </row>
    <row r="75" spans="2:11" x14ac:dyDescent="0.35">
      <c r="B75" s="12" t="s">
        <v>9</v>
      </c>
      <c r="C75" s="87">
        <f t="shared" si="2"/>
        <v>8</v>
      </c>
      <c r="D75" s="85">
        <v>10</v>
      </c>
      <c r="E75" s="22">
        <f>Budget!D71</f>
        <v>1739</v>
      </c>
      <c r="F75" s="22">
        <f>Budget!E71</f>
        <v>1791</v>
      </c>
      <c r="G75" s="22">
        <f>Budget!F71</f>
        <v>1845</v>
      </c>
      <c r="H75" s="22">
        <f>Budget!G71</f>
        <v>1900</v>
      </c>
      <c r="I75" s="22">
        <f>Budget!H71</f>
        <v>1957</v>
      </c>
      <c r="J75" s="1"/>
      <c r="K75" s="1"/>
    </row>
    <row r="76" spans="2:11" x14ac:dyDescent="0.35">
      <c r="B76" s="12" t="s">
        <v>10</v>
      </c>
      <c r="C76" s="87">
        <f t="shared" si="2"/>
        <v>250</v>
      </c>
      <c r="D76" s="85">
        <v>3</v>
      </c>
      <c r="E76" s="20">
        <f>Budget!D72</f>
        <v>83.333333333333329</v>
      </c>
      <c r="F76" s="20">
        <f>Budget!E72</f>
        <v>86</v>
      </c>
      <c r="G76" s="20">
        <f>Budget!F72</f>
        <v>89</v>
      </c>
      <c r="H76" s="20">
        <f>Budget!G72</f>
        <v>92</v>
      </c>
      <c r="I76" s="20">
        <f>Budget!H72</f>
        <v>95</v>
      </c>
      <c r="J76" s="1"/>
      <c r="K76" s="1"/>
    </row>
    <row r="77" spans="2:11" x14ac:dyDescent="0.35">
      <c r="B77" s="12" t="s">
        <v>11</v>
      </c>
      <c r="C77" s="87">
        <f t="shared" si="2"/>
        <v>25000</v>
      </c>
      <c r="D77" s="85">
        <v>7</v>
      </c>
      <c r="E77" s="20">
        <f>Budget!D73</f>
        <v>1250</v>
      </c>
      <c r="F77" s="20">
        <f>Budget!E73</f>
        <v>1288</v>
      </c>
      <c r="G77" s="20">
        <f>Budget!F73</f>
        <v>1326</v>
      </c>
      <c r="H77" s="20">
        <f>Budget!G73</f>
        <v>1366</v>
      </c>
      <c r="I77" s="20">
        <f>Budget!H73</f>
        <v>1407</v>
      </c>
      <c r="J77" s="1"/>
      <c r="K77" s="1"/>
    </row>
    <row r="78" spans="2:11" x14ac:dyDescent="0.35">
      <c r="B78" s="12" t="s">
        <v>69</v>
      </c>
      <c r="C78" s="87">
        <f t="shared" si="2"/>
        <v>35000</v>
      </c>
      <c r="D78" s="85">
        <v>10</v>
      </c>
      <c r="E78" s="20">
        <f>Budget!D74</f>
        <v>1750</v>
      </c>
      <c r="F78" s="20">
        <f>Budget!E74</f>
        <v>1803</v>
      </c>
      <c r="G78" s="20">
        <f>Budget!F74</f>
        <v>1857</v>
      </c>
      <c r="H78" s="20">
        <f>Budget!G74</f>
        <v>1912</v>
      </c>
      <c r="I78" s="20">
        <f>Budget!H74</f>
        <v>1970</v>
      </c>
      <c r="J78" s="1"/>
      <c r="K78" s="1"/>
    </row>
    <row r="79" spans="2:11" x14ac:dyDescent="0.35">
      <c r="B79" s="12" t="s">
        <v>70</v>
      </c>
      <c r="C79" s="87">
        <f t="shared" si="2"/>
        <v>10000</v>
      </c>
      <c r="D79" s="85">
        <v>3</v>
      </c>
      <c r="E79" s="20">
        <f>Budget!D75</f>
        <v>1000</v>
      </c>
      <c r="F79" s="20">
        <f>Budget!E75</f>
        <v>1030</v>
      </c>
      <c r="G79" s="20">
        <f>Budget!F75</f>
        <v>1061</v>
      </c>
      <c r="H79" s="20">
        <f>Budget!G75</f>
        <v>1093</v>
      </c>
      <c r="I79" s="20">
        <f>Budget!H75</f>
        <v>1126</v>
      </c>
      <c r="J79" s="1"/>
      <c r="K79" s="1"/>
    </row>
    <row r="80" spans="2:11" ht="44" thickBot="1" x14ac:dyDescent="0.4">
      <c r="B80" s="62" t="s">
        <v>71</v>
      </c>
      <c r="C80" s="80">
        <f t="shared" si="2"/>
        <v>1000</v>
      </c>
      <c r="D80" s="86">
        <v>5</v>
      </c>
      <c r="E80" s="24">
        <f>Budget!D76</f>
        <v>100</v>
      </c>
      <c r="F80" s="24">
        <f>Budget!E76</f>
        <v>103</v>
      </c>
      <c r="G80" s="24">
        <f>Budget!F76</f>
        <v>106</v>
      </c>
      <c r="H80" s="24">
        <f>Budget!G76</f>
        <v>109</v>
      </c>
      <c r="I80" s="24">
        <f>Budget!H76</f>
        <v>112</v>
      </c>
      <c r="J80" s="1"/>
      <c r="K80" s="1"/>
    </row>
    <row r="81" spans="2:11" x14ac:dyDescent="0.35">
      <c r="B81" s="3" t="s">
        <v>45</v>
      </c>
      <c r="C81" s="4"/>
      <c r="D81" s="1"/>
      <c r="E81" s="11">
        <f>SUM(E74:E80)</f>
        <v>6372.3333333333339</v>
      </c>
      <c r="F81" s="11">
        <f>SUM(F74:F80)</f>
        <v>6565</v>
      </c>
      <c r="G81" s="11">
        <f>SUM(G74:G80)</f>
        <v>6762</v>
      </c>
      <c r="H81" s="11">
        <f>SUM(H74:H80)</f>
        <v>6964</v>
      </c>
      <c r="I81" s="11">
        <f>SUM(I74:I80)</f>
        <v>7174</v>
      </c>
      <c r="J81" s="1"/>
      <c r="K81" s="1"/>
    </row>
    <row r="82" spans="2:11" x14ac:dyDescent="0.35">
      <c r="B82" s="1"/>
      <c r="C82" s="1"/>
      <c r="D82" s="1"/>
      <c r="E82" s="36"/>
      <c r="F82" s="36"/>
      <c r="G82" s="36"/>
      <c r="H82" s="36"/>
      <c r="I82" s="36"/>
      <c r="J82" s="1"/>
      <c r="K82" s="1"/>
    </row>
    <row r="83" spans="2:11" x14ac:dyDescent="0.35">
      <c r="B83" s="1"/>
      <c r="C83" s="1"/>
      <c r="D83" s="1"/>
      <c r="E83" s="4"/>
      <c r="F83" s="1"/>
      <c r="G83" s="1"/>
      <c r="H83" s="1"/>
      <c r="I83" s="1"/>
      <c r="J83" s="1"/>
      <c r="K83" s="1"/>
    </row>
    <row r="84" spans="2:11" ht="18.5" x14ac:dyDescent="0.45">
      <c r="B84" s="343" t="s">
        <v>75</v>
      </c>
      <c r="C84" s="343"/>
      <c r="D84" s="343"/>
      <c r="E84" s="343"/>
      <c r="F84" s="343"/>
      <c r="G84" s="343"/>
      <c r="H84" s="44"/>
      <c r="I84" s="44"/>
      <c r="J84" s="1"/>
      <c r="K84" s="1"/>
    </row>
    <row r="85" spans="2:11" ht="16" thickBot="1" x14ac:dyDescent="0.4">
      <c r="B85" s="29" t="s">
        <v>29</v>
      </c>
      <c r="C85" s="29"/>
      <c r="D85" s="30" t="s">
        <v>30</v>
      </c>
      <c r="E85" s="29" t="s">
        <v>31</v>
      </c>
      <c r="F85" s="29" t="s">
        <v>32</v>
      </c>
      <c r="G85" s="1"/>
      <c r="H85" s="1"/>
      <c r="I85" s="1"/>
      <c r="J85" s="1"/>
      <c r="K85" s="1"/>
    </row>
    <row r="86" spans="2:11" x14ac:dyDescent="0.35">
      <c r="B86" s="27" t="s">
        <v>33</v>
      </c>
      <c r="C86" s="27"/>
      <c r="D86" s="4"/>
      <c r="E86" s="1"/>
      <c r="F86" s="1"/>
      <c r="G86" s="1"/>
      <c r="H86" s="1"/>
      <c r="I86" s="1"/>
      <c r="J86" s="1"/>
      <c r="K86" s="1"/>
    </row>
    <row r="87" spans="2:11" x14ac:dyDescent="0.35">
      <c r="B87" s="1" t="s">
        <v>34</v>
      </c>
      <c r="C87" s="1"/>
      <c r="D87" s="45">
        <f>F14*D91</f>
        <v>104999.99999999999</v>
      </c>
      <c r="E87" s="46">
        <f>I8</f>
        <v>0.13</v>
      </c>
      <c r="F87" s="7">
        <f>E87*D87</f>
        <v>13649.999999999998</v>
      </c>
      <c r="G87" s="1"/>
      <c r="H87" s="1"/>
      <c r="I87" s="1"/>
      <c r="J87" s="1"/>
      <c r="K87" s="1"/>
    </row>
    <row r="88" spans="2:11" x14ac:dyDescent="0.35">
      <c r="B88" s="1" t="s">
        <v>35</v>
      </c>
      <c r="C88" s="1"/>
      <c r="D88" s="45">
        <f>F15*D91</f>
        <v>524999.99999999988</v>
      </c>
      <c r="E88" s="46">
        <f>I9</f>
        <v>0.11</v>
      </c>
      <c r="F88" s="7">
        <f>E88*D88</f>
        <v>57749.999999999985</v>
      </c>
      <c r="G88" s="1"/>
      <c r="H88" s="1"/>
      <c r="I88" s="1"/>
      <c r="J88" s="1"/>
      <c r="K88" s="1"/>
    </row>
    <row r="89" spans="2:11" x14ac:dyDescent="0.35">
      <c r="B89" s="1" t="s">
        <v>36</v>
      </c>
      <c r="C89" s="1"/>
      <c r="D89" s="45">
        <f>F16*D91</f>
        <v>419999.99999999994</v>
      </c>
      <c r="E89" s="47">
        <f>I10</f>
        <v>7.0000000000000007E-2</v>
      </c>
      <c r="F89" s="9">
        <f>E89*D89</f>
        <v>29400</v>
      </c>
      <c r="G89" s="1"/>
      <c r="H89" s="1"/>
      <c r="I89" s="1"/>
      <c r="J89" s="1"/>
      <c r="K89" s="1"/>
    </row>
    <row r="90" spans="2:11" x14ac:dyDescent="0.35">
      <c r="B90" s="341"/>
      <c r="C90" s="341"/>
      <c r="D90" s="341"/>
      <c r="E90" s="341"/>
      <c r="F90" s="341"/>
      <c r="G90" s="341"/>
      <c r="H90" s="1"/>
      <c r="I90" s="1"/>
      <c r="J90" s="1"/>
      <c r="K90" s="1"/>
    </row>
    <row r="91" spans="2:11" x14ac:dyDescent="0.35">
      <c r="B91" s="3" t="s">
        <v>79</v>
      </c>
      <c r="C91" s="3"/>
      <c r="D91" s="45">
        <f>D94*F12</f>
        <v>1049999.9999999998</v>
      </c>
      <c r="E91" s="46"/>
      <c r="F91" s="48">
        <f>SUM(F87:F89)</f>
        <v>100799.99999999999</v>
      </c>
      <c r="G91" s="1"/>
      <c r="H91" s="1"/>
      <c r="I91" s="1"/>
      <c r="J91" s="1"/>
      <c r="K91" s="1"/>
    </row>
    <row r="92" spans="2:11" x14ac:dyDescent="0.35">
      <c r="B92" s="341"/>
      <c r="C92" s="341"/>
      <c r="D92" s="341"/>
      <c r="E92" s="341"/>
      <c r="F92" s="341"/>
      <c r="G92" s="341"/>
      <c r="H92" s="1"/>
      <c r="I92" s="1"/>
      <c r="J92" s="1"/>
      <c r="K92" s="1"/>
    </row>
    <row r="93" spans="2:11" x14ac:dyDescent="0.35">
      <c r="B93" s="27" t="s">
        <v>14</v>
      </c>
      <c r="C93" s="27"/>
      <c r="D93" s="27"/>
      <c r="E93" s="45"/>
      <c r="F93" s="46"/>
      <c r="G93" s="7"/>
      <c r="H93" s="1"/>
      <c r="I93" s="1"/>
      <c r="J93" s="1"/>
      <c r="K93" s="1"/>
    </row>
    <row r="94" spans="2:11" x14ac:dyDescent="0.35">
      <c r="B94" s="1" t="s">
        <v>82</v>
      </c>
      <c r="C94" s="1"/>
      <c r="D94" s="45">
        <f>F6</f>
        <v>2000000</v>
      </c>
      <c r="E94" s="47">
        <f>I6</f>
        <v>0.01</v>
      </c>
      <c r="F94" s="7">
        <f>E94*D94</f>
        <v>20000</v>
      </c>
      <c r="G94" s="1"/>
      <c r="H94" s="1"/>
      <c r="I94" s="1"/>
      <c r="J94" s="1"/>
      <c r="K94" s="1"/>
    </row>
    <row r="95" spans="2:11" x14ac:dyDescent="0.35">
      <c r="B95" s="1" t="s">
        <v>83</v>
      </c>
      <c r="C95" s="1"/>
      <c r="D95" s="45">
        <f>F19+F18</f>
        <v>1504</v>
      </c>
      <c r="E95" s="7">
        <f>D42</f>
        <v>2</v>
      </c>
      <c r="F95" s="7">
        <f>E95*D95</f>
        <v>3008</v>
      </c>
      <c r="G95" s="1"/>
      <c r="H95" s="1"/>
      <c r="I95" s="1"/>
      <c r="J95" s="1"/>
      <c r="K95" s="1"/>
    </row>
    <row r="96" spans="2:11" x14ac:dyDescent="0.35">
      <c r="B96" s="1" t="s">
        <v>84</v>
      </c>
      <c r="C96" s="1"/>
      <c r="D96" s="45">
        <f>C43</f>
        <v>100</v>
      </c>
      <c r="E96" s="46">
        <f>D43</f>
        <v>3.5</v>
      </c>
      <c r="F96" s="7">
        <f>ROUND(E96*D96,0)</f>
        <v>350</v>
      </c>
      <c r="G96" s="1"/>
      <c r="H96" s="1"/>
      <c r="I96" s="1"/>
      <c r="J96" s="1"/>
      <c r="K96" s="1"/>
    </row>
    <row r="97" spans="2:11" x14ac:dyDescent="0.35">
      <c r="B97" s="1" t="s">
        <v>85</v>
      </c>
      <c r="C97" s="1"/>
      <c r="D97" s="45">
        <f>C44</f>
        <v>100</v>
      </c>
      <c r="E97" s="46">
        <f>D44</f>
        <v>3.5</v>
      </c>
      <c r="F97" s="7">
        <f>ROUND(E97*D97,0)</f>
        <v>350</v>
      </c>
      <c r="G97" s="1"/>
      <c r="H97" s="1"/>
      <c r="I97" s="1"/>
      <c r="J97" s="1"/>
      <c r="K97" s="1"/>
    </row>
    <row r="98" spans="2:11" x14ac:dyDescent="0.35">
      <c r="B98" s="1" t="s">
        <v>106</v>
      </c>
      <c r="C98" s="1"/>
      <c r="D98" s="45"/>
      <c r="E98" s="4"/>
      <c r="F98" s="7">
        <f>D46</f>
        <v>3500</v>
      </c>
      <c r="G98" s="1"/>
      <c r="H98" s="1"/>
      <c r="I98" s="1"/>
      <c r="J98" s="1"/>
      <c r="K98" s="1"/>
    </row>
    <row r="99" spans="2:11" x14ac:dyDescent="0.35">
      <c r="B99" s="1" t="s">
        <v>86</v>
      </c>
      <c r="C99" s="1"/>
      <c r="D99" s="45">
        <f>C47</f>
        <v>1324</v>
      </c>
      <c r="E99" s="46">
        <f>D47</f>
        <v>1.25</v>
      </c>
      <c r="F99" s="7">
        <f>ROUND(E99*D99,0)</f>
        <v>1655</v>
      </c>
      <c r="G99" s="1"/>
      <c r="H99" s="1"/>
      <c r="I99" s="1"/>
      <c r="J99" s="1"/>
      <c r="K99" s="1"/>
    </row>
    <row r="100" spans="2:11" x14ac:dyDescent="0.35">
      <c r="B100" s="1" t="s">
        <v>87</v>
      </c>
      <c r="C100" s="1"/>
      <c r="D100" s="45">
        <f>C45</f>
        <v>1</v>
      </c>
      <c r="E100" s="7">
        <f>D45</f>
        <v>100</v>
      </c>
      <c r="F100" s="7">
        <f>D100*E100</f>
        <v>100</v>
      </c>
      <c r="G100" s="1"/>
      <c r="H100" s="1"/>
      <c r="I100" s="1"/>
      <c r="J100" s="1"/>
      <c r="K100" s="1"/>
    </row>
    <row r="101" spans="2:11" x14ac:dyDescent="0.35">
      <c r="B101" s="1" t="s">
        <v>102</v>
      </c>
      <c r="C101" s="1"/>
      <c r="D101" s="45"/>
      <c r="E101" s="7"/>
      <c r="F101" s="7">
        <f>D48</f>
        <v>8000</v>
      </c>
      <c r="G101" s="1"/>
      <c r="H101" s="1"/>
      <c r="I101" s="1"/>
      <c r="J101" s="1"/>
      <c r="K101" s="1"/>
    </row>
    <row r="102" spans="2:11" x14ac:dyDescent="0.35">
      <c r="B102" s="1" t="s">
        <v>80</v>
      </c>
      <c r="C102" s="1"/>
      <c r="D102" s="45"/>
      <c r="E102" s="46"/>
      <c r="F102" s="9">
        <f>D49</f>
        <v>1000</v>
      </c>
      <c r="G102" s="1"/>
      <c r="H102" s="1"/>
      <c r="I102" s="1"/>
      <c r="J102" s="1"/>
      <c r="K102" s="1"/>
    </row>
    <row r="103" spans="2:11" x14ac:dyDescent="0.35">
      <c r="B103" s="3" t="s">
        <v>37</v>
      </c>
      <c r="C103" s="3"/>
      <c r="D103" s="3"/>
      <c r="E103" s="45"/>
      <c r="F103" s="7">
        <f>SUM(F94:F102)</f>
        <v>37963</v>
      </c>
      <c r="G103" s="48"/>
      <c r="H103" s="1"/>
      <c r="I103" s="1"/>
      <c r="J103" s="1"/>
      <c r="K103" s="1"/>
    </row>
    <row r="104" spans="2:11" x14ac:dyDescent="0.35">
      <c r="B104" s="341"/>
      <c r="C104" s="341"/>
      <c r="D104" s="341"/>
      <c r="E104" s="341"/>
      <c r="F104" s="341"/>
      <c r="G104" s="341"/>
      <c r="H104" s="1"/>
      <c r="I104" s="1"/>
      <c r="J104" s="1"/>
      <c r="K104" s="1"/>
    </row>
    <row r="105" spans="2:11" x14ac:dyDescent="0.35">
      <c r="B105" s="27" t="s">
        <v>38</v>
      </c>
      <c r="C105" s="27"/>
      <c r="D105" s="27"/>
      <c r="E105" s="45"/>
      <c r="F105" s="46"/>
      <c r="G105" s="7"/>
      <c r="H105" s="1"/>
      <c r="I105" s="1"/>
      <c r="J105" s="1"/>
      <c r="K105" s="1"/>
    </row>
    <row r="106" spans="2:11" x14ac:dyDescent="0.35">
      <c r="B106" s="68" t="s">
        <v>19</v>
      </c>
      <c r="C106" s="1"/>
      <c r="D106" s="1"/>
      <c r="E106" s="4"/>
      <c r="F106" s="1"/>
      <c r="G106" s="1"/>
      <c r="H106" s="1"/>
      <c r="I106" s="1"/>
      <c r="J106" s="1"/>
      <c r="K106" s="1"/>
    </row>
    <row r="107" spans="2:11" x14ac:dyDescent="0.35">
      <c r="B107" s="1" t="s">
        <v>111</v>
      </c>
      <c r="C107" s="1"/>
      <c r="D107" s="45">
        <f t="shared" ref="D107:E111" si="3">C51</f>
        <v>1</v>
      </c>
      <c r="E107" s="7">
        <f t="shared" si="3"/>
        <v>750</v>
      </c>
      <c r="F107" s="7">
        <f>E107*D107</f>
        <v>750</v>
      </c>
      <c r="G107" s="1"/>
      <c r="H107" s="1"/>
      <c r="I107" s="1"/>
      <c r="J107" s="1"/>
      <c r="K107" s="1"/>
    </row>
    <row r="108" spans="2:11" x14ac:dyDescent="0.35">
      <c r="B108" s="1" t="s">
        <v>112</v>
      </c>
      <c r="C108" s="1"/>
      <c r="D108" s="45">
        <f t="shared" si="3"/>
        <v>1</v>
      </c>
      <c r="E108" s="7">
        <f t="shared" si="3"/>
        <v>250</v>
      </c>
      <c r="F108" s="7">
        <f>D108*E108</f>
        <v>250</v>
      </c>
      <c r="G108" s="1"/>
      <c r="H108" s="1"/>
      <c r="I108" s="1"/>
      <c r="J108" s="1"/>
      <c r="K108" s="1"/>
    </row>
    <row r="109" spans="2:11" x14ac:dyDescent="0.35">
      <c r="B109" s="1" t="s">
        <v>81</v>
      </c>
      <c r="C109" s="1"/>
      <c r="D109" s="45">
        <f t="shared" si="3"/>
        <v>1</v>
      </c>
      <c r="E109" s="7">
        <f t="shared" si="3"/>
        <v>500</v>
      </c>
      <c r="F109" s="7">
        <f>E109*D109</f>
        <v>500</v>
      </c>
      <c r="G109" s="1"/>
      <c r="H109" s="1"/>
      <c r="I109" s="1"/>
      <c r="J109" s="1"/>
      <c r="K109" s="1"/>
    </row>
    <row r="110" spans="2:11" x14ac:dyDescent="0.35">
      <c r="B110" s="1" t="s">
        <v>109</v>
      </c>
      <c r="C110" s="1"/>
      <c r="D110" s="45">
        <f t="shared" si="3"/>
        <v>1</v>
      </c>
      <c r="E110" s="7">
        <f t="shared" si="3"/>
        <v>54</v>
      </c>
      <c r="F110" s="7">
        <f>D110*E110</f>
        <v>54</v>
      </c>
      <c r="G110" s="1"/>
      <c r="H110" s="1"/>
      <c r="I110" s="1"/>
      <c r="J110" s="1"/>
      <c r="K110" s="1"/>
    </row>
    <row r="111" spans="2:11" x14ac:dyDescent="0.35">
      <c r="B111" s="1" t="s">
        <v>110</v>
      </c>
      <c r="C111" s="1"/>
      <c r="D111" s="45">
        <f t="shared" si="3"/>
        <v>1</v>
      </c>
      <c r="E111" s="7">
        <f t="shared" si="3"/>
        <v>100</v>
      </c>
      <c r="F111" s="7">
        <f>E111*D111</f>
        <v>100</v>
      </c>
      <c r="G111" s="1"/>
      <c r="H111" s="1"/>
      <c r="I111" s="1"/>
      <c r="J111" s="1"/>
      <c r="K111" s="1"/>
    </row>
    <row r="112" spans="2:11" x14ac:dyDescent="0.35">
      <c r="B112" s="341"/>
      <c r="C112" s="341"/>
      <c r="D112" s="341"/>
      <c r="E112" s="341"/>
      <c r="F112" s="341"/>
      <c r="G112" s="341"/>
      <c r="H112" s="1"/>
      <c r="I112" s="1"/>
      <c r="J112" s="1"/>
      <c r="K112" s="1"/>
    </row>
    <row r="113" spans="2:11" x14ac:dyDescent="0.35">
      <c r="B113" s="1" t="s">
        <v>39</v>
      </c>
      <c r="C113" s="1"/>
      <c r="D113" s="1"/>
      <c r="E113" s="4"/>
      <c r="F113" s="7">
        <f>ROUND(AVERAGE(G30:K30),0)</f>
        <v>2321</v>
      </c>
      <c r="G113" s="1"/>
      <c r="H113" s="1"/>
      <c r="I113" s="1"/>
      <c r="J113" s="1"/>
      <c r="K113" s="1"/>
    </row>
    <row r="114" spans="2:11" x14ac:dyDescent="0.35">
      <c r="B114" s="1" t="s">
        <v>40</v>
      </c>
      <c r="C114" s="1"/>
      <c r="D114" s="1"/>
      <c r="E114" s="4"/>
      <c r="F114" s="9">
        <f>AVERAGE(E81:I81)</f>
        <v>6767.4666666666672</v>
      </c>
      <c r="G114" s="1"/>
      <c r="H114" s="1"/>
      <c r="I114" s="1"/>
      <c r="J114" s="1"/>
      <c r="K114" s="1"/>
    </row>
    <row r="115" spans="2:11" x14ac:dyDescent="0.35">
      <c r="B115" s="3" t="s">
        <v>41</v>
      </c>
      <c r="C115" s="3"/>
      <c r="D115" s="3"/>
      <c r="E115" s="4"/>
      <c r="F115" s="48">
        <f>SUM(F107:F114)</f>
        <v>10742.466666666667</v>
      </c>
      <c r="G115" s="1"/>
      <c r="H115" s="1"/>
      <c r="I115" s="1"/>
      <c r="J115" s="1"/>
      <c r="K115" s="1"/>
    </row>
    <row r="116" spans="2:11" x14ac:dyDescent="0.35">
      <c r="B116" s="3"/>
      <c r="C116" s="3"/>
      <c r="D116" s="3"/>
      <c r="E116" s="4"/>
      <c r="F116" s="48"/>
      <c r="G116" s="1"/>
      <c r="H116" s="1"/>
      <c r="I116" s="1"/>
      <c r="J116" s="1"/>
      <c r="K116" s="1"/>
    </row>
    <row r="117" spans="2:11" x14ac:dyDescent="0.35">
      <c r="B117" s="27" t="s">
        <v>89</v>
      </c>
      <c r="C117" s="27"/>
      <c r="D117" s="27"/>
      <c r="E117" s="4"/>
      <c r="F117" s="48">
        <f>F115+F103</f>
        <v>48705.466666666667</v>
      </c>
      <c r="G117" s="1"/>
      <c r="H117" s="1"/>
      <c r="I117" s="1"/>
      <c r="J117" s="1"/>
      <c r="K117" s="1"/>
    </row>
    <row r="118" spans="2:11" x14ac:dyDescent="0.35">
      <c r="B118" s="27"/>
      <c r="C118" s="27"/>
      <c r="D118" s="27"/>
      <c r="E118" s="4"/>
      <c r="F118" s="7"/>
      <c r="G118" s="1"/>
      <c r="H118" s="1"/>
      <c r="I118" s="1"/>
      <c r="J118" s="1"/>
      <c r="K118" s="1"/>
    </row>
    <row r="119" spans="2:11" x14ac:dyDescent="0.35">
      <c r="B119" s="27" t="s">
        <v>119</v>
      </c>
      <c r="C119" s="27"/>
      <c r="D119" s="27"/>
      <c r="E119" s="4"/>
      <c r="F119" s="7"/>
      <c r="G119" s="1"/>
      <c r="H119" s="1"/>
      <c r="I119" s="1"/>
      <c r="J119" s="1"/>
      <c r="K119" s="1"/>
    </row>
    <row r="120" spans="2:11" x14ac:dyDescent="0.35">
      <c r="B120" s="68" t="s">
        <v>120</v>
      </c>
      <c r="C120" s="27"/>
      <c r="D120" s="27"/>
      <c r="E120" s="4"/>
      <c r="F120" s="7"/>
      <c r="G120" s="1"/>
      <c r="H120" s="1"/>
      <c r="I120" s="1"/>
      <c r="J120" s="1"/>
      <c r="K120" s="1"/>
    </row>
    <row r="121" spans="2:11" x14ac:dyDescent="0.35">
      <c r="B121" s="3" t="s">
        <v>116</v>
      </c>
      <c r="C121" s="27"/>
      <c r="D121" s="27"/>
      <c r="E121" s="4"/>
      <c r="F121" s="7">
        <f>F91-(F117-F114)</f>
        <v>58861.999999999985</v>
      </c>
      <c r="G121" s="1"/>
      <c r="H121" s="1"/>
      <c r="I121" s="1"/>
      <c r="J121" s="1"/>
      <c r="K121" s="1"/>
    </row>
    <row r="122" spans="2:11" x14ac:dyDescent="0.35">
      <c r="B122" s="3" t="s">
        <v>117</v>
      </c>
      <c r="C122" s="27"/>
      <c r="D122" s="27"/>
      <c r="E122" s="4"/>
      <c r="F122" s="94">
        <f>(F117-F114)/D91</f>
        <v>3.9940952380952389E-2</v>
      </c>
      <c r="G122" s="1"/>
      <c r="H122" s="1"/>
      <c r="I122" s="1"/>
      <c r="J122" s="1"/>
      <c r="K122" s="1"/>
    </row>
    <row r="123" spans="2:11" x14ac:dyDescent="0.35">
      <c r="B123" s="3" t="s">
        <v>118</v>
      </c>
      <c r="C123" s="27"/>
      <c r="D123" s="27"/>
      <c r="E123" s="4"/>
      <c r="F123" s="50">
        <f>((F117-F114)/(E87*(D87/D91)+E88*(D88/D91)+E89*(D89/D91)))/D94</f>
        <v>0.21842708333333336</v>
      </c>
      <c r="G123" s="1"/>
      <c r="H123" s="1"/>
      <c r="I123" s="1"/>
      <c r="J123" s="1"/>
      <c r="K123" s="1"/>
    </row>
    <row r="124" spans="2:11" x14ac:dyDescent="0.35">
      <c r="B124" s="3"/>
      <c r="C124" s="27"/>
      <c r="D124" s="27"/>
      <c r="E124" s="4"/>
      <c r="F124" s="50"/>
      <c r="G124" s="1"/>
      <c r="H124" s="1"/>
      <c r="I124" s="1"/>
      <c r="J124" s="1"/>
      <c r="K124" s="1"/>
    </row>
    <row r="125" spans="2:11" x14ac:dyDescent="0.35">
      <c r="B125" s="68" t="s">
        <v>89</v>
      </c>
      <c r="C125" s="1"/>
      <c r="D125" s="1"/>
      <c r="E125" s="1"/>
      <c r="F125" s="1"/>
      <c r="G125" s="1"/>
      <c r="H125" s="1"/>
      <c r="I125" s="1"/>
      <c r="J125" s="1"/>
      <c r="K125" s="1"/>
    </row>
    <row r="126" spans="2:11" x14ac:dyDescent="0.35">
      <c r="B126" s="3" t="s">
        <v>42</v>
      </c>
      <c r="C126" s="3"/>
      <c r="D126" s="3"/>
      <c r="E126" s="4"/>
      <c r="F126" s="7">
        <f>F91-F117</f>
        <v>52094.533333333318</v>
      </c>
      <c r="G126" s="1"/>
      <c r="H126" s="1"/>
      <c r="I126" s="1"/>
      <c r="J126" s="1"/>
      <c r="K126" s="1"/>
    </row>
    <row r="127" spans="2:11" x14ac:dyDescent="0.35">
      <c r="B127" s="3" t="s">
        <v>43</v>
      </c>
      <c r="C127" s="3"/>
      <c r="D127" s="3"/>
      <c r="E127" s="4"/>
      <c r="F127" s="49">
        <f>F117/D91</f>
        <v>4.6386158730158743E-2</v>
      </c>
      <c r="G127" s="1"/>
      <c r="H127" s="1"/>
      <c r="I127" s="1"/>
      <c r="J127" s="1"/>
      <c r="K127" s="1"/>
    </row>
    <row r="128" spans="2:11" x14ac:dyDescent="0.35">
      <c r="B128" s="3" t="s">
        <v>44</v>
      </c>
      <c r="C128" s="3"/>
      <c r="D128" s="3"/>
      <c r="E128" s="4"/>
      <c r="F128" s="50">
        <f>(F117/(E87*(D87/D91)+E88*(D88/D91)+E89*(D89/D91)))/D94</f>
        <v>0.25367430555555553</v>
      </c>
      <c r="G128" s="1"/>
      <c r="H128" s="1"/>
      <c r="I128" s="1"/>
      <c r="J128" s="1"/>
      <c r="K128" s="1"/>
    </row>
    <row r="129" spans="2:11" x14ac:dyDescent="0.35">
      <c r="B129" s="1"/>
      <c r="C129" s="1"/>
      <c r="D129" s="1"/>
      <c r="E129" s="4"/>
      <c r="F129" s="1"/>
      <c r="G129" s="1"/>
      <c r="H129" s="1"/>
      <c r="I129" s="1"/>
      <c r="J129" s="1"/>
      <c r="K129" s="1"/>
    </row>
  </sheetData>
  <mergeCells count="23">
    <mergeCell ref="B112:G112"/>
    <mergeCell ref="B90:G90"/>
    <mergeCell ref="D16:E16"/>
    <mergeCell ref="E71:F71"/>
    <mergeCell ref="B84:G84"/>
    <mergeCell ref="B92:G92"/>
    <mergeCell ref="B104:G104"/>
    <mergeCell ref="B60:I60"/>
    <mergeCell ref="D17:E17"/>
    <mergeCell ref="D18:E18"/>
    <mergeCell ref="B21:K21"/>
    <mergeCell ref="B38:I38"/>
    <mergeCell ref="D12:E12"/>
    <mergeCell ref="D13:F13"/>
    <mergeCell ref="D14:E14"/>
    <mergeCell ref="D15:E15"/>
    <mergeCell ref="D19:E19"/>
    <mergeCell ref="D11:E11"/>
    <mergeCell ref="D6:E6"/>
    <mergeCell ref="D7:E7"/>
    <mergeCell ref="D8:E8"/>
    <mergeCell ref="D9:E9"/>
    <mergeCell ref="D10:E10"/>
  </mergeCells>
  <dataValidations count="4">
    <dataValidation type="decimal" operator="greaterThan" allowBlank="1" showInputMessage="1" showErrorMessage="1" sqref="I8:I10 I6 F7:F8 F10:F12" xr:uid="{00000000-0002-0000-0800-000000000000}">
      <formula1>0</formula1>
    </dataValidation>
    <dataValidation type="whole" operator="greaterThan" allowBlank="1" showInputMessage="1" showErrorMessage="1" sqref="C23:C29 D25:D29 E25 F54:I55 E51:E55 F6 E41:E42 F48:I48 E44:E49 D76:D80 C74:C80" xr:uid="{00000000-0002-0000-0800-000001000000}">
      <formula1>0</formula1>
    </dataValidation>
    <dataValidation type="whole" allowBlank="1" showInputMessage="1" showErrorMessage="1" sqref="E26:E29" xr:uid="{00000000-0002-0000-0800-000002000000}">
      <formula1>0</formula1>
      <formula2>1</formula2>
    </dataValidation>
    <dataValidation type="decimal" operator="greaterThanOrEqual" allowBlank="1" showInputMessage="1" showErrorMessage="1" sqref="F14:F16" xr:uid="{00000000-0002-0000-0800-000003000000}">
      <formula1>0</formula1>
    </dataValidation>
  </dataValidations>
  <pageMargins left="0.75" right="0.75" top="1" bottom="1" header="0.5" footer="0.5"/>
  <pageSetup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Introduction</vt:lpstr>
      <vt:lpstr>Questionnaire </vt:lpstr>
      <vt:lpstr>Instructions</vt:lpstr>
      <vt:lpstr>Budget</vt:lpstr>
      <vt:lpstr>Cash Cost Sensitivities (1)</vt:lpstr>
      <vt:lpstr>Cash Cost Sensitivities (2)</vt:lpstr>
      <vt:lpstr>Total Cost Sensitivities (1)</vt:lpstr>
      <vt:lpstr>Total Cost Sensitivities (2)</vt:lpstr>
      <vt:lpstr>Size Distribution Proxy (9)</vt:lpstr>
      <vt:lpstr>Size Distribution Proxy (8)</vt:lpstr>
      <vt:lpstr>Size Distribution Proxy (7)</vt:lpstr>
      <vt:lpstr>Size Distribution Proxy (6)</vt:lpstr>
      <vt:lpstr>Size Distribution Proxy (5)</vt:lpstr>
      <vt:lpstr>Size Distribution Proxy (4)</vt:lpstr>
      <vt:lpstr>Size Distribution Proxy (3)</vt:lpstr>
      <vt:lpstr>Size Distribution Proxy (2)</vt:lpstr>
      <vt:lpstr>Size Distribution Proxy (1)</vt:lpstr>
      <vt:lpstr>Market Price Proxy (11)</vt:lpstr>
      <vt:lpstr>Market Price Proxy (10)</vt:lpstr>
      <vt:lpstr>Market Price Proxy (9)</vt:lpstr>
      <vt:lpstr>Market Price Proxy (8)</vt:lpstr>
      <vt:lpstr>Market Price Proxy (7)</vt:lpstr>
      <vt:lpstr>Market Price Proxy (6)</vt:lpstr>
      <vt:lpstr>Market Price Proxy (5)</vt:lpstr>
      <vt:lpstr>Market Price Proxy (4)</vt:lpstr>
      <vt:lpstr>Market Price Proxy (3)</vt:lpstr>
      <vt:lpstr>Market Price Proxy (2)</vt:lpstr>
      <vt:lpstr>Market Price Proxy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Anderson</dc:creator>
  <cp:lastModifiedBy>Sturmer,Leslie Noel</cp:lastModifiedBy>
  <cp:lastPrinted>2014-05-04T20:05:11Z</cp:lastPrinted>
  <dcterms:created xsi:type="dcterms:W3CDTF">2013-10-09T15:43:00Z</dcterms:created>
  <dcterms:modified xsi:type="dcterms:W3CDTF">2024-07-08T16:53:32Z</dcterms:modified>
</cp:coreProperties>
</file>